
<file path=[Content_Types].xml><?xml version="1.0" encoding="utf-8"?>
<Types xmlns="http://schemas.openxmlformats.org/package/2006/content-types">
  <Default Extension="bin" ContentType="application/vnd.ms-office.activeX"/>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pivotTables/pivotTable1.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drawings/drawing8.xml" ContentType="application/vnd.openxmlformats-officedocument.drawing+xml"/>
  <Override PartName="/xl/calcChain.xml" ContentType="application/vnd.openxmlformats-officedocument.spreadsheetml.calcChain+xml"/>
  <Override PartName="/xl/activeX/activeX1.xml" ContentType="application/vnd.ms-office.activeX+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1"/>
  <workbookPr/>
  <mc:AlternateContent xmlns:mc="http://schemas.openxmlformats.org/markup-compatibility/2006">
    <mc:Choice Requires="x15">
      <x15ac:absPath xmlns:x15ac="http://schemas.microsoft.com/office/spreadsheetml/2010/11/ac" url="C:\Users\shail\Downloads\"/>
    </mc:Choice>
  </mc:AlternateContent>
  <xr:revisionPtr revIDLastSave="0" documentId="8_{2532C5EA-68D5-44B5-8441-1C359810B43D}" xr6:coauthVersionLast="47" xr6:coauthVersionMax="47" xr10:uidLastSave="{00000000-0000-0000-0000-000000000000}"/>
  <bookViews>
    <workbookView xWindow="22932" yWindow="-108" windowWidth="23256" windowHeight="12576" tabRatio="884" firstSheet="2" activeTab="6" xr2:uid="{00000000-000D-0000-FFFF-FFFF00000000}"/>
  </bookViews>
  <sheets>
    <sheet name="ModelPorfolio (2)" sheetId="6" state="hidden" r:id="rId1"/>
    <sheet name="Small Micro CAP (2)" sheetId="18" state="hidden" r:id="rId2"/>
    <sheet name="BESTMICRO" sheetId="42" r:id="rId3"/>
    <sheet name="TRADING" sheetId="39" state="hidden" r:id="rId4"/>
    <sheet name="ModelPorfolio" sheetId="4" r:id="rId5"/>
    <sheet name="Small Micro CAP" sheetId="3" r:id="rId6"/>
    <sheet name="MyFINALPortfolio" sheetId="32" r:id="rId7"/>
    <sheet name="portfolio" sheetId="43" r:id="rId8"/>
    <sheet name="MidSmallCAP" sheetId="25" r:id="rId9"/>
    <sheet name="ALL MODEL PROFFOLIOS" sheetId="28" state="hidden" r:id="rId10"/>
    <sheet name="BUYSELL" sheetId="40" r:id="rId11"/>
    <sheet name="Formula" sheetId="5" r:id="rId12"/>
    <sheet name="PNGS" sheetId="41" r:id="rId13"/>
    <sheet name="BUYON CORRECTIONS" sheetId="22" r:id="rId14"/>
    <sheet name="ALLMODEL PORTPOLIOS" sheetId="30" r:id="rId15"/>
    <sheet name="MF" sheetId="34" r:id="rId16"/>
    <sheet name="Sheet2" sheetId="37" r:id="rId17"/>
    <sheet name="SECTOR" sheetId="19" r:id="rId18"/>
    <sheet name="Motilal Oswal Nifty Microcap" sheetId="38" r:id="rId19"/>
    <sheet name="ALL HOLDING" sheetId="35" r:id="rId20"/>
    <sheet name="REMOVED" sheetId="27" r:id="rId21"/>
    <sheet name="ScreenShots" sheetId="26" r:id="rId22"/>
    <sheet name="Kaynes" sheetId="24" r:id="rId23"/>
    <sheet name="RATIO FORMULAS" sheetId="21" r:id="rId24"/>
    <sheet name="POLYPLEX" sheetId="23" r:id="rId25"/>
    <sheet name="SATHLOKHAR" sheetId="20" r:id="rId26"/>
    <sheet name="MyPorfolio" sheetId="16" r:id="rId27"/>
    <sheet name="MyPivot" sheetId="17" r:id="rId28"/>
    <sheet name="all" sheetId="1" r:id="rId29"/>
    <sheet name="all (2)" sheetId="2" state="hidden" r:id="rId30"/>
    <sheet name="NEXT BUY" sheetId="7" r:id="rId31"/>
    <sheet name="MyPortF" sheetId="13" r:id="rId32"/>
    <sheet name="SharekhanPortfolio" sheetId="12" r:id="rId33"/>
    <sheet name="Financial Comp" sheetId="10" r:id="rId34"/>
    <sheet name="MyPortfolio" sheetId="9" r:id="rId35"/>
    <sheet name="ALL MODEL PROFFOLIOS (2)" sheetId="29" r:id="rId36"/>
    <sheet name="Sheet1" sheetId="8" r:id="rId37"/>
  </sheets>
  <definedNames>
    <definedName name="_xlnm._FilterDatabase" localSheetId="28" hidden="1">all!$B$1:$K$123</definedName>
    <definedName name="_xlnm._FilterDatabase" localSheetId="19" hidden="1">'ALL HOLDING'!$A$1:$I$86</definedName>
    <definedName name="_xlnm._FilterDatabase" localSheetId="9" hidden="1">'ALL MODEL PROFFOLIOS'!$A$1:$C$114</definedName>
    <definedName name="_xlnm._FilterDatabase" localSheetId="14" hidden="1">'ALLMODEL PORTPOLIOS'!$B$1:$E$139</definedName>
    <definedName name="_xlnm._FilterDatabase" localSheetId="15" hidden="1">MF!$B$1:$C$27</definedName>
    <definedName name="_xlnm._FilterDatabase" localSheetId="8" hidden="1">MidSmallCAP!$A$1:$P$95</definedName>
    <definedName name="_xlnm._FilterDatabase" localSheetId="4" hidden="1">ModelPorfolio!$A$1:$M$1</definedName>
    <definedName name="_xlnm._FilterDatabase" localSheetId="18" hidden="1">'Motilal Oswal Nifty Microcap'!$B$1:$D$1</definedName>
    <definedName name="_xlnm._FilterDatabase" localSheetId="6" hidden="1">MyFINALPortfolio!$A$1:$L$1</definedName>
    <definedName name="_xlnm._FilterDatabase" localSheetId="26" hidden="1">MyPorfolio!$A$1:$E$120</definedName>
    <definedName name="_xlnm._FilterDatabase" localSheetId="30" hidden="1">'NEXT BUY'!$A$1:$J$57</definedName>
    <definedName name="_xlnm._FilterDatabase" localSheetId="7" hidden="1">portfolio!$A$1:$F$75</definedName>
    <definedName name="_xlnm._FilterDatabase" localSheetId="5" hidden="1">'Small Micro CAP'!$A$1:$O$90</definedName>
    <definedName name="_xlnm._FilterDatabase" localSheetId="1" hidden="1">'Small Micro CAP (2)'!$A$1:$O$142</definedName>
    <definedName name="_xlnm._FilterDatabase" localSheetId="3" hidden="1">TRADING!$A$1:$M$25</definedName>
  </definedNames>
  <calcPr calcId="191028"/>
  <pivotCaches>
    <pivotCache cacheId="4158" r:id="rId38"/>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114" i="32" l="1"/>
  <c r="G70" i="32"/>
  <c r="F67" i="32"/>
  <c r="G90" i="32"/>
  <c r="I13" i="42"/>
  <c r="F13" i="42"/>
  <c r="H12" i="42"/>
  <c r="I12" i="42" s="1"/>
  <c r="F12" i="42"/>
  <c r="I55" i="42"/>
  <c r="F55" i="42"/>
  <c r="I54" i="42"/>
  <c r="F54" i="42"/>
  <c r="E75" i="43"/>
  <c r="I57" i="42"/>
  <c r="F57" i="42"/>
  <c r="I56" i="42"/>
  <c r="F56" i="42"/>
  <c r="I23" i="42"/>
  <c r="F23" i="42"/>
  <c r="I22" i="42"/>
  <c r="F22" i="42"/>
  <c r="I53" i="42"/>
  <c r="F53" i="42"/>
  <c r="I52" i="42"/>
  <c r="F52" i="42"/>
  <c r="I43" i="42"/>
  <c r="F43" i="42"/>
  <c r="I42" i="42"/>
  <c r="F42" i="42"/>
  <c r="I39" i="42"/>
  <c r="F39" i="42"/>
  <c r="I38" i="42"/>
  <c r="F38" i="42"/>
  <c r="I37" i="42"/>
  <c r="F37" i="42"/>
  <c r="H36" i="42"/>
  <c r="I36" i="42" s="1"/>
  <c r="F36" i="42"/>
  <c r="I31" i="42"/>
  <c r="F31" i="42"/>
  <c r="I30" i="42"/>
  <c r="F30" i="42"/>
  <c r="I25" i="42"/>
  <c r="F25" i="42"/>
  <c r="I24" i="42"/>
  <c r="F24" i="42"/>
  <c r="F26" i="42"/>
  <c r="I26" i="42"/>
  <c r="I15" i="42"/>
  <c r="F15" i="42"/>
  <c r="I14" i="42"/>
  <c r="F14" i="42"/>
  <c r="I7" i="42"/>
  <c r="F7" i="42"/>
  <c r="H6" i="42"/>
  <c r="I6" i="42" s="1"/>
  <c r="F6" i="42"/>
  <c r="I67" i="42"/>
  <c r="F67" i="42"/>
  <c r="I66" i="42"/>
  <c r="F66" i="42"/>
  <c r="I59" i="42"/>
  <c r="F59" i="42"/>
  <c r="I58" i="42"/>
  <c r="F58" i="42"/>
  <c r="I47" i="42"/>
  <c r="F47" i="42"/>
  <c r="H46" i="42"/>
  <c r="I46" i="42" s="1"/>
  <c r="F46" i="42"/>
  <c r="I35" i="42"/>
  <c r="F35" i="42"/>
  <c r="G34" i="42"/>
  <c r="I34" i="42" s="1"/>
  <c r="F34" i="42"/>
  <c r="I33" i="42"/>
  <c r="F33" i="42"/>
  <c r="I32" i="42"/>
  <c r="F32" i="42"/>
  <c r="I21" i="42"/>
  <c r="F21" i="42"/>
  <c r="I20" i="42"/>
  <c r="F20" i="42"/>
  <c r="I11" i="42"/>
  <c r="F11" i="42"/>
  <c r="I10" i="42"/>
  <c r="F10" i="42"/>
  <c r="I65" i="42"/>
  <c r="F65" i="42"/>
  <c r="I64" i="42"/>
  <c r="F64" i="42"/>
  <c r="H63" i="42"/>
  <c r="I63" i="42" s="1"/>
  <c r="F63" i="42"/>
  <c r="H62" i="42"/>
  <c r="I62" i="42" s="1"/>
  <c r="F62" i="42"/>
  <c r="I61" i="42"/>
  <c r="F61" i="42"/>
  <c r="I60" i="42"/>
  <c r="F60" i="42"/>
  <c r="I51" i="42"/>
  <c r="F51" i="42"/>
  <c r="I50" i="42"/>
  <c r="F50" i="42"/>
  <c r="I49" i="42"/>
  <c r="F49" i="42"/>
  <c r="I48" i="42"/>
  <c r="F48" i="42"/>
  <c r="I45" i="42"/>
  <c r="F45" i="42"/>
  <c r="I44" i="42"/>
  <c r="F44" i="42"/>
  <c r="I41" i="42"/>
  <c r="F41" i="42"/>
  <c r="I40" i="42"/>
  <c r="F40" i="42"/>
  <c r="I29" i="42"/>
  <c r="F29" i="42"/>
  <c r="I28" i="42"/>
  <c r="F28" i="42"/>
  <c r="I27" i="42"/>
  <c r="F27" i="42"/>
  <c r="I19" i="42"/>
  <c r="F19" i="42"/>
  <c r="I18" i="42"/>
  <c r="F18" i="42"/>
  <c r="I17" i="42"/>
  <c r="F17" i="42"/>
  <c r="I16" i="42"/>
  <c r="F16" i="42"/>
  <c r="I9" i="42"/>
  <c r="F9" i="42"/>
  <c r="H8" i="42"/>
  <c r="I8" i="42" s="1"/>
  <c r="F8" i="42"/>
  <c r="I5" i="42"/>
  <c r="F5" i="42"/>
  <c r="H4" i="42"/>
  <c r="I4" i="42" s="1"/>
  <c r="F4" i="42"/>
  <c r="I3" i="42"/>
  <c r="F3" i="42"/>
  <c r="I2" i="42"/>
  <c r="F2" i="42"/>
  <c r="J13" i="42" l="1"/>
  <c r="K13" i="42" s="1"/>
  <c r="J56" i="42"/>
  <c r="K56" i="42" s="1"/>
  <c r="J12" i="42"/>
  <c r="K12" i="42" s="1"/>
  <c r="J55" i="42"/>
  <c r="K55" i="42" s="1"/>
  <c r="J54" i="42"/>
  <c r="K54" i="42" s="1"/>
  <c r="J57" i="42"/>
  <c r="K57" i="42" s="1"/>
  <c r="J22" i="42"/>
  <c r="K22" i="42" s="1"/>
  <c r="J23" i="42"/>
  <c r="K23" i="42" s="1"/>
  <c r="J42" i="42"/>
  <c r="K42" i="42" s="1"/>
  <c r="J53" i="42"/>
  <c r="K53" i="42" s="1"/>
  <c r="J52" i="42"/>
  <c r="K52" i="42" s="1"/>
  <c r="J43" i="42"/>
  <c r="K43" i="42" s="1"/>
  <c r="J38" i="42"/>
  <c r="K38" i="42" s="1"/>
  <c r="J36" i="42"/>
  <c r="K36" i="42" s="1"/>
  <c r="J39" i="42"/>
  <c r="K39" i="42" s="1"/>
  <c r="J59" i="42"/>
  <c r="K59" i="42" s="1"/>
  <c r="J24" i="42"/>
  <c r="K24" i="42" s="1"/>
  <c r="J37" i="42"/>
  <c r="K37" i="42" s="1"/>
  <c r="J26" i="42"/>
  <c r="K26" i="42" s="1"/>
  <c r="J25" i="42"/>
  <c r="K25" i="42" s="1"/>
  <c r="J30" i="42"/>
  <c r="K30" i="42" s="1"/>
  <c r="J31" i="42"/>
  <c r="K31" i="42" s="1"/>
  <c r="J14" i="42"/>
  <c r="K14" i="42" s="1"/>
  <c r="J15" i="42"/>
  <c r="K15" i="42" s="1"/>
  <c r="J67" i="42"/>
  <c r="K67" i="42" s="1"/>
  <c r="J6" i="42"/>
  <c r="K6" i="42" s="1"/>
  <c r="J7" i="42"/>
  <c r="K7" i="42" s="1"/>
  <c r="J46" i="42"/>
  <c r="K46" i="42" s="1"/>
  <c r="J66" i="42"/>
  <c r="K66" i="42" s="1"/>
  <c r="J58" i="42"/>
  <c r="K58" i="42" s="1"/>
  <c r="J47" i="42"/>
  <c r="K47" i="42" s="1"/>
  <c r="J35" i="42"/>
  <c r="K35" i="42" s="1"/>
  <c r="J34" i="42"/>
  <c r="K34" i="42" s="1"/>
  <c r="J33" i="42"/>
  <c r="K33" i="42" s="1"/>
  <c r="J32" i="42"/>
  <c r="K32" i="42" s="1"/>
  <c r="J20" i="42"/>
  <c r="K20" i="42" s="1"/>
  <c r="J21" i="42"/>
  <c r="K21" i="42" s="1"/>
  <c r="J64" i="42"/>
  <c r="K64" i="42" s="1"/>
  <c r="J10" i="42"/>
  <c r="K10" i="42" s="1"/>
  <c r="J11" i="42"/>
  <c r="K11" i="42" s="1"/>
  <c r="J44" i="42"/>
  <c r="K44" i="42" s="1"/>
  <c r="J18" i="42"/>
  <c r="K18" i="42" s="1"/>
  <c r="J19" i="42"/>
  <c r="K19" i="42" s="1"/>
  <c r="J45" i="42"/>
  <c r="K45" i="42" s="1"/>
  <c r="J63" i="42"/>
  <c r="K63" i="42" s="1"/>
  <c r="J61" i="42"/>
  <c r="K61" i="42" s="1"/>
  <c r="J4" i="42"/>
  <c r="K4" i="42" s="1"/>
  <c r="J2" i="42"/>
  <c r="K2" i="42" s="1"/>
  <c r="J60" i="42"/>
  <c r="K60" i="42" s="1"/>
  <c r="J27" i="42"/>
  <c r="K27" i="42" s="1"/>
  <c r="J65" i="42"/>
  <c r="K65" i="42" s="1"/>
  <c r="J3" i="42"/>
  <c r="K3" i="42" s="1"/>
  <c r="J9" i="42"/>
  <c r="K9" i="42" s="1"/>
  <c r="J17" i="42"/>
  <c r="K17" i="42" s="1"/>
  <c r="J40" i="42"/>
  <c r="K40" i="42" s="1"/>
  <c r="J51" i="42"/>
  <c r="K51" i="42" s="1"/>
  <c r="J62" i="42"/>
  <c r="K62" i="42" s="1"/>
  <c r="J48" i="42"/>
  <c r="K48" i="42" s="1"/>
  <c r="J41" i="42"/>
  <c r="K41" i="42" s="1"/>
  <c r="J5" i="42"/>
  <c r="K5" i="42" s="1"/>
  <c r="J28" i="42"/>
  <c r="K28" i="42" s="1"/>
  <c r="J49" i="42"/>
  <c r="K49" i="42" s="1"/>
  <c r="J8" i="42"/>
  <c r="K8" i="42" s="1"/>
  <c r="J16" i="42"/>
  <c r="K16" i="42" s="1"/>
  <c r="J29" i="42"/>
  <c r="K29" i="42" s="1"/>
  <c r="J50" i="42"/>
  <c r="K50" i="42" s="1"/>
  <c r="G56" i="32" l="1"/>
  <c r="J128" i="32"/>
  <c r="G121" i="32"/>
  <c r="C51" i="32"/>
  <c r="C70" i="32"/>
  <c r="C33" i="32"/>
  <c r="G51" i="32"/>
  <c r="G33" i="32"/>
  <c r="I21" i="39"/>
  <c r="I20" i="39"/>
  <c r="F21" i="39"/>
  <c r="F20" i="39"/>
  <c r="I17" i="39"/>
  <c r="F17" i="39"/>
  <c r="G16" i="39"/>
  <c r="I16" i="39" s="1"/>
  <c r="F16" i="39"/>
  <c r="I13" i="39"/>
  <c r="F13" i="39"/>
  <c r="I12" i="39"/>
  <c r="F12" i="39"/>
  <c r="I11" i="39"/>
  <c r="F11" i="39"/>
  <c r="H10" i="39"/>
  <c r="I10" i="39" s="1"/>
  <c r="F10" i="39"/>
  <c r="I9" i="39"/>
  <c r="F9" i="39"/>
  <c r="I8" i="39"/>
  <c r="F8" i="39"/>
  <c r="J9" i="32"/>
  <c r="F38" i="32" s="1"/>
  <c r="G95" i="32"/>
  <c r="H31" i="5"/>
  <c r="H34" i="5"/>
  <c r="H30" i="5"/>
  <c r="H29" i="5"/>
  <c r="H27" i="5"/>
  <c r="E35" i="5"/>
  <c r="E34" i="5"/>
  <c r="E33" i="5"/>
  <c r="E32" i="5"/>
  <c r="I23" i="3"/>
  <c r="F23" i="3"/>
  <c r="I22" i="3"/>
  <c r="F22" i="3"/>
  <c r="J22" i="3" s="1"/>
  <c r="K22" i="3" s="1"/>
  <c r="I76" i="3"/>
  <c r="F76" i="3"/>
  <c r="H75" i="3"/>
  <c r="I75" i="3" s="1"/>
  <c r="F75" i="3"/>
  <c r="L9" i="32"/>
  <c r="K9" i="32"/>
  <c r="I20" i="22"/>
  <c r="F20" i="22"/>
  <c r="I19" i="22"/>
  <c r="F19" i="22"/>
  <c r="I18" i="22"/>
  <c r="F18" i="22"/>
  <c r="I17" i="22"/>
  <c r="F17" i="22"/>
  <c r="I16" i="22"/>
  <c r="F16" i="22"/>
  <c r="I15" i="22"/>
  <c r="F15" i="22"/>
  <c r="I11" i="22"/>
  <c r="I5" i="22"/>
  <c r="F11" i="22"/>
  <c r="H10" i="22"/>
  <c r="I10" i="22" s="1"/>
  <c r="F10" i="22"/>
  <c r="I9" i="22"/>
  <c r="F9" i="22"/>
  <c r="H8" i="22"/>
  <c r="I8" i="22" s="1"/>
  <c r="F8" i="22"/>
  <c r="H6" i="22"/>
  <c r="I6" i="22" s="1"/>
  <c r="I3" i="22"/>
  <c r="H2" i="22"/>
  <c r="I2" i="22" s="1"/>
  <c r="H4" i="22"/>
  <c r="I4" i="22" s="1"/>
  <c r="I7" i="22"/>
  <c r="F7" i="22"/>
  <c r="F6" i="22"/>
  <c r="F5" i="22"/>
  <c r="F4" i="22"/>
  <c r="F3" i="22"/>
  <c r="F2" i="22"/>
  <c r="H8" i="3"/>
  <c r="I8" i="3" s="1"/>
  <c r="I9" i="3"/>
  <c r="F9" i="3"/>
  <c r="F8" i="3"/>
  <c r="F66" i="32" l="1"/>
  <c r="F65" i="32"/>
  <c r="F64" i="32"/>
  <c r="F63" i="32"/>
  <c r="F62" i="32"/>
  <c r="F61" i="32"/>
  <c r="F40" i="32"/>
  <c r="F60" i="32"/>
  <c r="F59" i="32"/>
  <c r="F58" i="32"/>
  <c r="F57" i="32"/>
  <c r="F56" i="32"/>
  <c r="F55" i="32"/>
  <c r="F54" i="32"/>
  <c r="F53" i="32"/>
  <c r="F7" i="32"/>
  <c r="F17" i="32"/>
  <c r="F22" i="32"/>
  <c r="F20" i="32"/>
  <c r="F50" i="32"/>
  <c r="F49" i="32"/>
  <c r="F48" i="32"/>
  <c r="F44" i="32"/>
  <c r="F42" i="32"/>
  <c r="F41" i="32"/>
  <c r="F39" i="32"/>
  <c r="F35" i="32"/>
  <c r="F25" i="32"/>
  <c r="F24" i="32"/>
  <c r="F23" i="32"/>
  <c r="F21" i="32"/>
  <c r="F6" i="32"/>
  <c r="F5" i="32"/>
  <c r="F4" i="32"/>
  <c r="F19" i="32"/>
  <c r="F18" i="32"/>
  <c r="F14" i="32"/>
  <c r="F11" i="32"/>
  <c r="F10" i="32"/>
  <c r="F9" i="32"/>
  <c r="F8" i="32"/>
  <c r="F2" i="32"/>
  <c r="G72" i="32"/>
  <c r="J20" i="39"/>
  <c r="K20" i="39" s="1"/>
  <c r="J21" i="39"/>
  <c r="K21" i="39" s="1"/>
  <c r="J16" i="39"/>
  <c r="K16" i="39" s="1"/>
  <c r="J17" i="39"/>
  <c r="K17" i="39" s="1"/>
  <c r="J9" i="39"/>
  <c r="K9" i="39" s="1"/>
  <c r="J13" i="39"/>
  <c r="K13" i="39" s="1"/>
  <c r="J12" i="39"/>
  <c r="K12" i="39" s="1"/>
  <c r="J11" i="39"/>
  <c r="K11" i="39" s="1"/>
  <c r="J8" i="39"/>
  <c r="K8" i="39" s="1"/>
  <c r="J10" i="39"/>
  <c r="K10" i="39" s="1"/>
  <c r="J23" i="3"/>
  <c r="K23" i="3" s="1"/>
  <c r="H36" i="5"/>
  <c r="E36" i="5"/>
  <c r="H37" i="5" s="1"/>
  <c r="J76" i="3"/>
  <c r="K76" i="3" s="1"/>
  <c r="J75" i="3"/>
  <c r="K75" i="3" s="1"/>
  <c r="J20" i="22"/>
  <c r="K20" i="22" s="1"/>
  <c r="J15" i="22"/>
  <c r="K15" i="22" s="1"/>
  <c r="J19" i="22"/>
  <c r="K19" i="22" s="1"/>
  <c r="J18" i="22"/>
  <c r="K18" i="22" s="1"/>
  <c r="J17" i="22"/>
  <c r="K17" i="22" s="1"/>
  <c r="J10" i="22"/>
  <c r="K10" i="22" s="1"/>
  <c r="J16" i="22"/>
  <c r="K16" i="22" s="1"/>
  <c r="K8" i="22"/>
  <c r="J4" i="22"/>
  <c r="K4" i="22" s="1"/>
  <c r="J9" i="22"/>
  <c r="K9" i="22" s="1"/>
  <c r="J11" i="22"/>
  <c r="K11" i="22" s="1"/>
  <c r="J7" i="22"/>
  <c r="K7" i="22" s="1"/>
  <c r="J6" i="22"/>
  <c r="K6" i="22" s="1"/>
  <c r="J3" i="22"/>
  <c r="K3" i="22" s="1"/>
  <c r="J5" i="22"/>
  <c r="K5" i="22" s="1"/>
  <c r="J2" i="22"/>
  <c r="K2" i="22" s="1"/>
  <c r="J9" i="3"/>
  <c r="K9" i="3" s="1"/>
  <c r="J8" i="3"/>
  <c r="K8" i="3" s="1"/>
  <c r="K88" i="35"/>
  <c r="N87" i="35"/>
  <c r="N82" i="35"/>
  <c r="K86" i="35"/>
  <c r="K83" i="35"/>
  <c r="K82" i="35"/>
  <c r="F15" i="3"/>
  <c r="H78" i="3"/>
  <c r="I78" i="3" s="1"/>
  <c r="F78" i="3"/>
  <c r="H77" i="3"/>
  <c r="I77" i="3" s="1"/>
  <c r="F77" i="3"/>
  <c r="I33" i="3"/>
  <c r="F33" i="3"/>
  <c r="I32" i="3"/>
  <c r="F32" i="3"/>
  <c r="C51" i="19"/>
  <c r="I25" i="3"/>
  <c r="F25" i="3"/>
  <c r="I24" i="3"/>
  <c r="F24" i="3"/>
  <c r="I67" i="25"/>
  <c r="F67" i="25"/>
  <c r="H66" i="25"/>
  <c r="I66" i="25" s="1"/>
  <c r="F66" i="25"/>
  <c r="B1" i="21"/>
  <c r="B4" i="21" s="1"/>
  <c r="E5" i="21" s="1"/>
  <c r="G122" i="32"/>
  <c r="I43" i="3"/>
  <c r="F43" i="3"/>
  <c r="I42" i="3"/>
  <c r="F42" i="3"/>
  <c r="C4" i="19"/>
  <c r="C38" i="19"/>
  <c r="C90" i="19"/>
  <c r="C72" i="19"/>
  <c r="C63" i="19"/>
  <c r="C24" i="19"/>
  <c r="C20" i="19"/>
  <c r="C67" i="19"/>
  <c r="C71" i="19"/>
  <c r="C74" i="19"/>
  <c r="C7" i="19"/>
  <c r="C65" i="28"/>
  <c r="C79" i="28"/>
  <c r="C112" i="28"/>
  <c r="C114" i="28"/>
  <c r="C109" i="28"/>
  <c r="C108" i="28"/>
  <c r="C78" i="28"/>
  <c r="C73" i="28"/>
  <c r="C42" i="28"/>
  <c r="C4" i="28"/>
  <c r="C32" i="28"/>
  <c r="C100" i="28"/>
  <c r="C99" i="28"/>
  <c r="C98" i="28"/>
  <c r="C97" i="28"/>
  <c r="C96" i="28"/>
  <c r="C95" i="28"/>
  <c r="C94" i="28"/>
  <c r="C93" i="28"/>
  <c r="C92" i="28"/>
  <c r="C91" i="28"/>
  <c r="C90" i="28"/>
  <c r="C89" i="28"/>
  <c r="C88" i="28"/>
  <c r="C87" i="28"/>
  <c r="C86" i="28"/>
  <c r="C74" i="28"/>
  <c r="C72" i="28"/>
  <c r="C71" i="28"/>
  <c r="C57" i="28"/>
  <c r="C54" i="28"/>
  <c r="C53" i="28"/>
  <c r="C46" i="28"/>
  <c r="C45" i="28"/>
  <c r="C44" i="28"/>
  <c r="C43" i="28"/>
  <c r="C41" i="28"/>
  <c r="C40" i="28"/>
  <c r="C39" i="28"/>
  <c r="C38" i="28"/>
  <c r="C33" i="28"/>
  <c r="C31" i="28"/>
  <c r="C30" i="28"/>
  <c r="C29" i="28"/>
  <c r="C28" i="28"/>
  <c r="C27" i="28"/>
  <c r="C26" i="28"/>
  <c r="C24" i="28"/>
  <c r="C23" i="28"/>
  <c r="C22" i="28"/>
  <c r="C21" i="28"/>
  <c r="C20" i="28"/>
  <c r="C120" i="29"/>
  <c r="C119" i="29"/>
  <c r="C118" i="29"/>
  <c r="C117" i="29"/>
  <c r="C116" i="29"/>
  <c r="C115" i="29"/>
  <c r="C114" i="29"/>
  <c r="C113" i="29"/>
  <c r="C112" i="29"/>
  <c r="C111" i="29"/>
  <c r="C110" i="29"/>
  <c r="C109" i="29"/>
  <c r="C108" i="29"/>
  <c r="C107" i="29"/>
  <c r="C106" i="29"/>
  <c r="C105" i="29"/>
  <c r="C104" i="29"/>
  <c r="C103" i="29"/>
  <c r="C102" i="29"/>
  <c r="C101" i="29"/>
  <c r="C100" i="29"/>
  <c r="C99" i="29"/>
  <c r="C98" i="29"/>
  <c r="C97" i="29"/>
  <c r="C96" i="29"/>
  <c r="C95" i="29"/>
  <c r="C94" i="29"/>
  <c r="C93" i="29"/>
  <c r="C92" i="29"/>
  <c r="C91" i="29"/>
  <c r="C90" i="29"/>
  <c r="C89" i="29"/>
  <c r="C88" i="29"/>
  <c r="C87" i="29"/>
  <c r="C86" i="29"/>
  <c r="C85" i="29"/>
  <c r="C84" i="29"/>
  <c r="C83" i="29"/>
  <c r="C82" i="29"/>
  <c r="C81" i="29"/>
  <c r="C80" i="29"/>
  <c r="C79" i="29"/>
  <c r="C78" i="29"/>
  <c r="C77" i="29"/>
  <c r="C76" i="29"/>
  <c r="C75" i="29"/>
  <c r="C74" i="29"/>
  <c r="C73" i="29"/>
  <c r="C72" i="29"/>
  <c r="C71" i="29"/>
  <c r="C70" i="29"/>
  <c r="C69" i="29"/>
  <c r="C68" i="29"/>
  <c r="C67" i="29"/>
  <c r="C66" i="29"/>
  <c r="C65" i="29"/>
  <c r="C64" i="29"/>
  <c r="C63" i="29"/>
  <c r="C62" i="29"/>
  <c r="C61" i="29"/>
  <c r="C60" i="29"/>
  <c r="C59" i="29"/>
  <c r="C58" i="29"/>
  <c r="C57" i="29"/>
  <c r="C56" i="29"/>
  <c r="C55" i="29"/>
  <c r="C54" i="29"/>
  <c r="C53" i="29"/>
  <c r="C52" i="29"/>
  <c r="C51" i="29"/>
  <c r="C50" i="29"/>
  <c r="C49" i="29"/>
  <c r="C48" i="29"/>
  <c r="C47" i="29"/>
  <c r="C46" i="29"/>
  <c r="C45" i="29"/>
  <c r="C44" i="29"/>
  <c r="C43" i="29"/>
  <c r="C42" i="29"/>
  <c r="C41" i="29"/>
  <c r="C40" i="29"/>
  <c r="C39" i="29"/>
  <c r="C38" i="29"/>
  <c r="C37" i="29"/>
  <c r="C36" i="29"/>
  <c r="C35" i="29"/>
  <c r="C34" i="29"/>
  <c r="C33" i="29"/>
  <c r="C32" i="29"/>
  <c r="C31" i="29"/>
  <c r="C30" i="29"/>
  <c r="C29" i="29"/>
  <c r="C28" i="29"/>
  <c r="C27" i="29"/>
  <c r="C26" i="29"/>
  <c r="C25" i="29"/>
  <c r="C24" i="29"/>
  <c r="C23" i="29"/>
  <c r="C22" i="29"/>
  <c r="C21" i="29"/>
  <c r="C20" i="29"/>
  <c r="C19" i="29"/>
  <c r="C18" i="29"/>
  <c r="C17" i="29"/>
  <c r="C16" i="29"/>
  <c r="C15" i="29"/>
  <c r="C14" i="29"/>
  <c r="C13" i="29"/>
  <c r="C12" i="29"/>
  <c r="C11" i="29"/>
  <c r="C10" i="29"/>
  <c r="C9" i="29"/>
  <c r="C8" i="29"/>
  <c r="C7" i="29"/>
  <c r="C6" i="29"/>
  <c r="C5" i="29"/>
  <c r="C4" i="29"/>
  <c r="C3" i="29"/>
  <c r="C2" i="29"/>
  <c r="C16" i="28"/>
  <c r="C8" i="28"/>
  <c r="C113" i="28"/>
  <c r="C111" i="28"/>
  <c r="C110" i="28"/>
  <c r="C107" i="28"/>
  <c r="C106" i="28"/>
  <c r="C105" i="28"/>
  <c r="C104" i="28"/>
  <c r="C103" i="28"/>
  <c r="C102" i="28"/>
  <c r="C101" i="28"/>
  <c r="C85" i="28"/>
  <c r="C84" i="28"/>
  <c r="C83" i="28"/>
  <c r="C82" i="28"/>
  <c r="C81" i="28"/>
  <c r="C80" i="28"/>
  <c r="C77" i="28"/>
  <c r="C76" i="28"/>
  <c r="C75" i="28"/>
  <c r="C70" i="28"/>
  <c r="C69" i="28"/>
  <c r="C68" i="28"/>
  <c r="C67" i="28"/>
  <c r="C66" i="28"/>
  <c r="C64" i="28"/>
  <c r="C63" i="28"/>
  <c r="C62" i="28"/>
  <c r="C61" i="28"/>
  <c r="C60" i="28"/>
  <c r="C59" i="28"/>
  <c r="C58" i="28"/>
  <c r="C56" i="28"/>
  <c r="C55" i="28"/>
  <c r="C52" i="28"/>
  <c r="C51" i="28"/>
  <c r="C50" i="28"/>
  <c r="C49" i="28"/>
  <c r="C48" i="28"/>
  <c r="C47" i="28"/>
  <c r="C37" i="28"/>
  <c r="C36" i="28"/>
  <c r="C35" i="28"/>
  <c r="C34" i="28"/>
  <c r="C25" i="28"/>
  <c r="C19" i="28"/>
  <c r="C18" i="28"/>
  <c r="C17" i="28"/>
  <c r="C15" i="28"/>
  <c r="C14" i="28"/>
  <c r="C13" i="28"/>
  <c r="C12" i="28"/>
  <c r="C11" i="28"/>
  <c r="C10" i="28"/>
  <c r="C9" i="28"/>
  <c r="C7" i="28"/>
  <c r="C6" i="28"/>
  <c r="C5" i="28"/>
  <c r="C3" i="28"/>
  <c r="C2" i="28"/>
  <c r="I98" i="4"/>
  <c r="F98" i="4"/>
  <c r="I97" i="4"/>
  <c r="F97" i="4"/>
  <c r="I4" i="4"/>
  <c r="I96" i="4"/>
  <c r="F96" i="4"/>
  <c r="I95" i="4"/>
  <c r="F95" i="4"/>
  <c r="I100" i="4"/>
  <c r="F100" i="4"/>
  <c r="I99" i="4"/>
  <c r="F99" i="4"/>
  <c r="I3" i="27"/>
  <c r="F3" i="27"/>
  <c r="I2" i="27"/>
  <c r="F2" i="27"/>
  <c r="I47" i="25"/>
  <c r="F47" i="25"/>
  <c r="H46" i="25"/>
  <c r="I46" i="25" s="1"/>
  <c r="F46" i="25"/>
  <c r="C85" i="19"/>
  <c r="C21" i="19"/>
  <c r="C12" i="19"/>
  <c r="C23" i="19"/>
  <c r="C87" i="19"/>
  <c r="C3" i="19"/>
  <c r="H86" i="3"/>
  <c r="I84" i="3"/>
  <c r="F84" i="3"/>
  <c r="I83" i="3"/>
  <c r="F83" i="3"/>
  <c r="I17" i="3"/>
  <c r="F72" i="32" l="1"/>
  <c r="H39" i="5"/>
  <c r="J66" i="25"/>
  <c r="K66" i="25" s="1"/>
  <c r="J2" i="27"/>
  <c r="K2" i="27" s="1"/>
  <c r="J3" i="27"/>
  <c r="K3" i="27" s="1"/>
  <c r="J98" i="4"/>
  <c r="K98" i="4" s="1"/>
  <c r="J67" i="25"/>
  <c r="K67" i="25" s="1"/>
  <c r="J33" i="3"/>
  <c r="K33" i="3" s="1"/>
  <c r="J78" i="3"/>
  <c r="K78" i="3" s="1"/>
  <c r="J77" i="3"/>
  <c r="K77" i="3" s="1"/>
  <c r="J32" i="3"/>
  <c r="K32" i="3" s="1"/>
  <c r="J25" i="3"/>
  <c r="K25" i="3" s="1"/>
  <c r="J24" i="3"/>
  <c r="K24" i="3" s="1"/>
  <c r="J42" i="3"/>
  <c r="K42" i="3" s="1"/>
  <c r="J43" i="3"/>
  <c r="K43" i="3" s="1"/>
  <c r="J84" i="3"/>
  <c r="K84" i="3" s="1"/>
  <c r="J47" i="25"/>
  <c r="K47" i="25" s="1"/>
  <c r="J46" i="25"/>
  <c r="K46" i="25" s="1"/>
  <c r="J97" i="4"/>
  <c r="K97" i="4" s="1"/>
  <c r="J99" i="4"/>
  <c r="K99" i="4" s="1"/>
  <c r="J4" i="4"/>
  <c r="K4" i="4" s="1"/>
  <c r="J100" i="4"/>
  <c r="K100" i="4" s="1"/>
  <c r="J96" i="4"/>
  <c r="K96" i="4" s="1"/>
  <c r="J95" i="4"/>
  <c r="K95" i="4" s="1"/>
  <c r="J83" i="3"/>
  <c r="K83" i="3" s="1"/>
  <c r="J58" i="32" l="1"/>
  <c r="J60" i="32" s="1"/>
  <c r="I35" i="3"/>
  <c r="F35" i="3"/>
  <c r="I34" i="3"/>
  <c r="F34" i="3"/>
  <c r="I17" i="25"/>
  <c r="F17" i="25"/>
  <c r="I16" i="25"/>
  <c r="F16" i="25"/>
  <c r="M98" i="3"/>
  <c r="M94" i="3"/>
  <c r="I90" i="3"/>
  <c r="F90" i="3"/>
  <c r="I89" i="3"/>
  <c r="F89" i="3"/>
  <c r="I88" i="3"/>
  <c r="F88" i="3"/>
  <c r="H87" i="3"/>
  <c r="I87" i="3" s="1"/>
  <c r="F87" i="3"/>
  <c r="I86" i="3"/>
  <c r="F86" i="3"/>
  <c r="H85" i="3"/>
  <c r="I85" i="3" s="1"/>
  <c r="F85" i="3"/>
  <c r="I82" i="3"/>
  <c r="F82" i="3"/>
  <c r="H81" i="3"/>
  <c r="I81" i="3" s="1"/>
  <c r="F81" i="3"/>
  <c r="I80" i="3"/>
  <c r="F80" i="3"/>
  <c r="I79" i="3"/>
  <c r="F79" i="3"/>
  <c r="I74" i="3"/>
  <c r="F74" i="3"/>
  <c r="H73" i="3"/>
  <c r="I73" i="3" s="1"/>
  <c r="F73" i="3"/>
  <c r="I72" i="3"/>
  <c r="F72" i="3"/>
  <c r="I71" i="3"/>
  <c r="F71" i="3"/>
  <c r="I70" i="3"/>
  <c r="F70" i="3"/>
  <c r="I69" i="3"/>
  <c r="F69" i="3"/>
  <c r="H68" i="3"/>
  <c r="I68" i="3" s="1"/>
  <c r="F68" i="3"/>
  <c r="I67" i="3"/>
  <c r="F67" i="3"/>
  <c r="I66" i="3"/>
  <c r="F66" i="3"/>
  <c r="I65" i="3"/>
  <c r="F65" i="3"/>
  <c r="H64" i="3"/>
  <c r="I64" i="3" s="1"/>
  <c r="F64" i="3"/>
  <c r="I63" i="3"/>
  <c r="F63" i="3"/>
  <c r="H62" i="3"/>
  <c r="I62" i="3" s="1"/>
  <c r="F62" i="3"/>
  <c r="I61" i="3"/>
  <c r="F61" i="3"/>
  <c r="I60" i="3"/>
  <c r="F60" i="3"/>
  <c r="I59" i="3"/>
  <c r="F59" i="3"/>
  <c r="I58" i="3"/>
  <c r="F58" i="3"/>
  <c r="I55" i="3"/>
  <c r="F55" i="3"/>
  <c r="I54" i="3"/>
  <c r="F54" i="3"/>
  <c r="I53" i="3"/>
  <c r="F53" i="3"/>
  <c r="H52" i="3"/>
  <c r="I52" i="3" s="1"/>
  <c r="F52" i="3"/>
  <c r="I51" i="3"/>
  <c r="F51" i="3"/>
  <c r="I50" i="3"/>
  <c r="F50" i="3"/>
  <c r="I47" i="3"/>
  <c r="F47" i="3"/>
  <c r="I46" i="3"/>
  <c r="F46" i="3"/>
  <c r="I45" i="3"/>
  <c r="F45" i="3"/>
  <c r="I44" i="3"/>
  <c r="F44" i="3"/>
  <c r="I41" i="3"/>
  <c r="F41" i="3"/>
  <c r="H40" i="3"/>
  <c r="I40" i="3" s="1"/>
  <c r="F40" i="3"/>
  <c r="I39" i="3"/>
  <c r="F39" i="3"/>
  <c r="I38" i="3"/>
  <c r="F38" i="3"/>
  <c r="I37" i="3"/>
  <c r="F37" i="3"/>
  <c r="I36" i="3"/>
  <c r="F36" i="3"/>
  <c r="I31" i="3"/>
  <c r="F31" i="3"/>
  <c r="I30" i="3"/>
  <c r="F30" i="3"/>
  <c r="I29" i="3"/>
  <c r="F29" i="3"/>
  <c r="I28" i="3"/>
  <c r="F28" i="3"/>
  <c r="I27" i="3"/>
  <c r="F27" i="3"/>
  <c r="I26" i="3"/>
  <c r="F26" i="3"/>
  <c r="I21" i="3"/>
  <c r="F21" i="3"/>
  <c r="H20" i="3"/>
  <c r="I20" i="3" s="1"/>
  <c r="F20" i="3"/>
  <c r="I19" i="3"/>
  <c r="F19" i="3"/>
  <c r="H18" i="3"/>
  <c r="I18" i="3" s="1"/>
  <c r="F18" i="3"/>
  <c r="F17" i="3"/>
  <c r="J17" i="3" s="1"/>
  <c r="K17" i="3" s="1"/>
  <c r="H16" i="3"/>
  <c r="I16" i="3" s="1"/>
  <c r="F16" i="3"/>
  <c r="I15" i="3"/>
  <c r="K14" i="3"/>
  <c r="H14" i="3"/>
  <c r="I14" i="3" s="1"/>
  <c r="F14" i="3"/>
  <c r="I13" i="3"/>
  <c r="F13" i="3"/>
  <c r="H12" i="3"/>
  <c r="I12" i="3" s="1"/>
  <c r="F12" i="3"/>
  <c r="I11" i="3"/>
  <c r="F11" i="3"/>
  <c r="H10" i="3"/>
  <c r="I10" i="3" s="1"/>
  <c r="F10" i="3"/>
  <c r="I7" i="3"/>
  <c r="F7" i="3"/>
  <c r="I6" i="3"/>
  <c r="F6" i="3"/>
  <c r="I5" i="3"/>
  <c r="F5" i="3"/>
  <c r="H4" i="3"/>
  <c r="I4" i="3" s="1"/>
  <c r="F4" i="3"/>
  <c r="I3" i="3"/>
  <c r="F3" i="3"/>
  <c r="H2" i="3"/>
  <c r="I2" i="3" s="1"/>
  <c r="F2" i="3"/>
  <c r="M95" i="25"/>
  <c r="I95" i="25"/>
  <c r="F95" i="25"/>
  <c r="M94" i="25"/>
  <c r="H94" i="25"/>
  <c r="I94" i="25" s="1"/>
  <c r="F94" i="25"/>
  <c r="I93" i="25"/>
  <c r="F93" i="25"/>
  <c r="M92" i="25"/>
  <c r="H92" i="25"/>
  <c r="I92" i="25" s="1"/>
  <c r="F92" i="25"/>
  <c r="I91" i="25"/>
  <c r="F91" i="25"/>
  <c r="I90" i="25"/>
  <c r="F90" i="25"/>
  <c r="I87" i="25"/>
  <c r="F87" i="25"/>
  <c r="H86" i="25"/>
  <c r="I86" i="25" s="1"/>
  <c r="F86" i="25"/>
  <c r="I85" i="25"/>
  <c r="F85" i="25"/>
  <c r="H84" i="25"/>
  <c r="I84" i="25" s="1"/>
  <c r="F84" i="25"/>
  <c r="M83" i="25"/>
  <c r="I83" i="25"/>
  <c r="F83" i="25"/>
  <c r="I82" i="25"/>
  <c r="F82" i="25"/>
  <c r="I81" i="25"/>
  <c r="F81" i="25"/>
  <c r="M80" i="25"/>
  <c r="I80" i="25"/>
  <c r="F80" i="25"/>
  <c r="I79" i="25"/>
  <c r="F79" i="25"/>
  <c r="H78" i="25"/>
  <c r="I78" i="25" s="1"/>
  <c r="F78" i="25"/>
  <c r="I77" i="25"/>
  <c r="F77" i="25"/>
  <c r="H76" i="25"/>
  <c r="I76" i="25" s="1"/>
  <c r="F76" i="25"/>
  <c r="I75" i="25"/>
  <c r="F75" i="25"/>
  <c r="H74" i="25"/>
  <c r="I74" i="25" s="1"/>
  <c r="F74" i="25"/>
  <c r="I73" i="25"/>
  <c r="F73" i="25"/>
  <c r="H72" i="25"/>
  <c r="I72" i="25" s="1"/>
  <c r="F72" i="25"/>
  <c r="I71" i="25"/>
  <c r="F71" i="25"/>
  <c r="I70" i="25"/>
  <c r="F70" i="25"/>
  <c r="I69" i="25"/>
  <c r="F69" i="25"/>
  <c r="I68" i="25"/>
  <c r="F68" i="25"/>
  <c r="I65" i="25"/>
  <c r="F65" i="25"/>
  <c r="H64" i="25"/>
  <c r="I64" i="25" s="1"/>
  <c r="F64" i="25"/>
  <c r="H62" i="25"/>
  <c r="I62" i="25" s="1"/>
  <c r="F62" i="25"/>
  <c r="I61" i="25"/>
  <c r="F61" i="25"/>
  <c r="H60" i="25"/>
  <c r="I60" i="25" s="1"/>
  <c r="F60" i="25"/>
  <c r="I59" i="25"/>
  <c r="F59" i="25"/>
  <c r="G58" i="25"/>
  <c r="I58" i="25" s="1"/>
  <c r="F58" i="25"/>
  <c r="I57" i="25"/>
  <c r="F57" i="25"/>
  <c r="H56" i="25"/>
  <c r="I56" i="25" s="1"/>
  <c r="F56" i="25"/>
  <c r="I55" i="25"/>
  <c r="F55" i="25"/>
  <c r="I54" i="25"/>
  <c r="F54" i="25"/>
  <c r="I53" i="25"/>
  <c r="F53" i="25"/>
  <c r="I52" i="25"/>
  <c r="F52" i="25"/>
  <c r="I51" i="25"/>
  <c r="F51" i="25"/>
  <c r="H50" i="25"/>
  <c r="I50" i="25" s="1"/>
  <c r="F50" i="25"/>
  <c r="I49" i="25"/>
  <c r="F49" i="25"/>
  <c r="H48" i="25"/>
  <c r="I48" i="25" s="1"/>
  <c r="F48" i="25"/>
  <c r="I45" i="25"/>
  <c r="F45" i="25"/>
  <c r="H44" i="25"/>
  <c r="I44" i="25" s="1"/>
  <c r="F44" i="25"/>
  <c r="I43" i="25"/>
  <c r="F43" i="25"/>
  <c r="I42" i="25"/>
  <c r="F42" i="25"/>
  <c r="I41" i="25"/>
  <c r="F41" i="25"/>
  <c r="I40" i="25"/>
  <c r="F40" i="25"/>
  <c r="I39" i="25"/>
  <c r="F39" i="25"/>
  <c r="I38" i="25"/>
  <c r="F38" i="25"/>
  <c r="H37" i="25"/>
  <c r="I37" i="25" s="1"/>
  <c r="F37" i="25"/>
  <c r="H36" i="25"/>
  <c r="I36" i="25" s="1"/>
  <c r="F36" i="25"/>
  <c r="I35" i="25"/>
  <c r="F35" i="25"/>
  <c r="I34" i="25"/>
  <c r="F34" i="25"/>
  <c r="I33" i="25"/>
  <c r="F33" i="25"/>
  <c r="I32" i="25"/>
  <c r="F32" i="25"/>
  <c r="I31" i="25"/>
  <c r="F31" i="25"/>
  <c r="H30" i="25"/>
  <c r="I30" i="25" s="1"/>
  <c r="F30" i="25"/>
  <c r="I29" i="25"/>
  <c r="F29" i="25"/>
  <c r="H28" i="25"/>
  <c r="I28" i="25" s="1"/>
  <c r="F28" i="25"/>
  <c r="I27" i="25"/>
  <c r="F27" i="25"/>
  <c r="I26" i="25"/>
  <c r="F26" i="25"/>
  <c r="I25" i="25"/>
  <c r="F25" i="25"/>
  <c r="I24" i="25"/>
  <c r="F24" i="25"/>
  <c r="I23" i="25"/>
  <c r="F23" i="25"/>
  <c r="H22" i="25"/>
  <c r="I22" i="25" s="1"/>
  <c r="F22" i="25"/>
  <c r="I21" i="25"/>
  <c r="F21" i="25"/>
  <c r="I20" i="25"/>
  <c r="F20" i="25"/>
  <c r="I19" i="25"/>
  <c r="F19" i="25"/>
  <c r="I18" i="25"/>
  <c r="F18" i="25"/>
  <c r="I15" i="25"/>
  <c r="F15" i="25"/>
  <c r="H14" i="25"/>
  <c r="I14" i="25" s="1"/>
  <c r="F14" i="25"/>
  <c r="I13" i="25"/>
  <c r="F13" i="25"/>
  <c r="H12" i="25"/>
  <c r="I12" i="25" s="1"/>
  <c r="F12" i="25"/>
  <c r="I11" i="25"/>
  <c r="F11" i="25"/>
  <c r="I10" i="25"/>
  <c r="F10" i="25"/>
  <c r="I9" i="25"/>
  <c r="F9" i="25"/>
  <c r="I8" i="25"/>
  <c r="F8" i="25"/>
  <c r="I7" i="25"/>
  <c r="F7" i="25"/>
  <c r="H6" i="25"/>
  <c r="I6" i="25" s="1"/>
  <c r="F6" i="25"/>
  <c r="F2" i="25"/>
  <c r="H2" i="25"/>
  <c r="I2" i="25" s="1"/>
  <c r="F3" i="25"/>
  <c r="I3" i="25"/>
  <c r="F4" i="25"/>
  <c r="H4" i="25"/>
  <c r="I4" i="25" s="1"/>
  <c r="F5" i="25"/>
  <c r="I5" i="25"/>
  <c r="J5" i="3" l="1"/>
  <c r="K5" i="3" s="1"/>
  <c r="J75" i="25"/>
  <c r="K75" i="25" s="1"/>
  <c r="J92" i="25"/>
  <c r="K92" i="25" s="1"/>
  <c r="J17" i="25"/>
  <c r="K17" i="25" s="1"/>
  <c r="J86" i="25"/>
  <c r="K86" i="25" s="1"/>
  <c r="J95" i="25"/>
  <c r="K95" i="25" s="1"/>
  <c r="J52" i="3"/>
  <c r="K52" i="3" s="1"/>
  <c r="J2" i="3"/>
  <c r="K2" i="3" s="1"/>
  <c r="J36" i="3"/>
  <c r="K36" i="3" s="1"/>
  <c r="J84" i="25"/>
  <c r="K84" i="25" s="1"/>
  <c r="J74" i="25"/>
  <c r="K74" i="25" s="1"/>
  <c r="J90" i="25"/>
  <c r="K90" i="25" s="1"/>
  <c r="J37" i="3"/>
  <c r="K37" i="3" s="1"/>
  <c r="J35" i="3"/>
  <c r="K35" i="3" s="1"/>
  <c r="J50" i="3"/>
  <c r="K50" i="3" s="1"/>
  <c r="J31" i="3"/>
  <c r="K31" i="3" s="1"/>
  <c r="J54" i="3"/>
  <c r="K54" i="3" s="1"/>
  <c r="J60" i="3"/>
  <c r="K60" i="3" s="1"/>
  <c r="J64" i="3"/>
  <c r="K64" i="3" s="1"/>
  <c r="J38" i="3"/>
  <c r="K38" i="3" s="1"/>
  <c r="J6" i="3"/>
  <c r="K6" i="3" s="1"/>
  <c r="J12" i="3"/>
  <c r="K12" i="3" s="1"/>
  <c r="J46" i="3"/>
  <c r="K46" i="3" s="1"/>
  <c r="J81" i="3"/>
  <c r="K81" i="3" s="1"/>
  <c r="J13" i="3"/>
  <c r="K13" i="3" s="1"/>
  <c r="J47" i="3"/>
  <c r="K47" i="3" s="1"/>
  <c r="J70" i="3"/>
  <c r="K70" i="3" s="1"/>
  <c r="J79" i="25"/>
  <c r="K79" i="25" s="1"/>
  <c r="J34" i="3"/>
  <c r="K34" i="3" s="1"/>
  <c r="J16" i="25"/>
  <c r="K16" i="25" s="1"/>
  <c r="J80" i="25"/>
  <c r="K80" i="25" s="1"/>
  <c r="J87" i="25"/>
  <c r="K87" i="25" s="1"/>
  <c r="J93" i="25"/>
  <c r="K93" i="25" s="1"/>
  <c r="J91" i="25"/>
  <c r="K91" i="25" s="1"/>
  <c r="J94" i="25"/>
  <c r="K94" i="25" s="1"/>
  <c r="J3" i="3"/>
  <c r="K3" i="3" s="1"/>
  <c r="J15" i="3"/>
  <c r="K15" i="3" s="1"/>
  <c r="J44" i="3"/>
  <c r="K44" i="3" s="1"/>
  <c r="J53" i="3"/>
  <c r="K53" i="3" s="1"/>
  <c r="J59" i="3"/>
  <c r="K59" i="3" s="1"/>
  <c r="J63" i="3"/>
  <c r="K63" i="3" s="1"/>
  <c r="J71" i="3"/>
  <c r="K71" i="3" s="1"/>
  <c r="J82" i="3"/>
  <c r="K82" i="3" s="1"/>
  <c r="J85" i="3"/>
  <c r="K85" i="3" s="1"/>
  <c r="J45" i="3"/>
  <c r="K45" i="3" s="1"/>
  <c r="J68" i="3"/>
  <c r="K68" i="3" s="1"/>
  <c r="J51" i="3"/>
  <c r="K51" i="3" s="1"/>
  <c r="J55" i="3"/>
  <c r="K55" i="3" s="1"/>
  <c r="J61" i="3"/>
  <c r="K61" i="3" s="1"/>
  <c r="J65" i="3"/>
  <c r="K65" i="3" s="1"/>
  <c r="J86" i="3"/>
  <c r="K86" i="3" s="1"/>
  <c r="J69" i="3"/>
  <c r="K69" i="3" s="1"/>
  <c r="J73" i="3"/>
  <c r="K73" i="3" s="1"/>
  <c r="J11" i="3"/>
  <c r="K11" i="3" s="1"/>
  <c r="J20" i="3"/>
  <c r="K20" i="3" s="1"/>
  <c r="J28" i="3"/>
  <c r="K28" i="3" s="1"/>
  <c r="J88" i="3"/>
  <c r="K88" i="3" s="1"/>
  <c r="J66" i="3"/>
  <c r="K66" i="3" s="1"/>
  <c r="J21" i="3"/>
  <c r="K21" i="3" s="1"/>
  <c r="J29" i="3"/>
  <c r="K29" i="3" s="1"/>
  <c r="J74" i="3"/>
  <c r="K74" i="3" s="1"/>
  <c r="J89" i="3"/>
  <c r="K89" i="3" s="1"/>
  <c r="J58" i="3"/>
  <c r="K58" i="3" s="1"/>
  <c r="J62" i="3"/>
  <c r="K62" i="3" s="1"/>
  <c r="J67" i="3"/>
  <c r="K67" i="3" s="1"/>
  <c r="J7" i="3"/>
  <c r="K7" i="3" s="1"/>
  <c r="J18" i="3"/>
  <c r="K18" i="3" s="1"/>
  <c r="J26" i="3"/>
  <c r="K26" i="3" s="1"/>
  <c r="J30" i="3"/>
  <c r="K30" i="3" s="1"/>
  <c r="J39" i="3"/>
  <c r="K39" i="3" s="1"/>
  <c r="J79" i="3"/>
  <c r="K79" i="3" s="1"/>
  <c r="J90" i="3"/>
  <c r="K90" i="3" s="1"/>
  <c r="J16" i="3"/>
  <c r="K16" i="3" s="1"/>
  <c r="J80" i="3"/>
  <c r="K80" i="3" s="1"/>
  <c r="J10" i="3"/>
  <c r="K10" i="3" s="1"/>
  <c r="J27" i="3"/>
  <c r="K27" i="3" s="1"/>
  <c r="J40" i="3"/>
  <c r="K40" i="3" s="1"/>
  <c r="J87" i="3"/>
  <c r="K87" i="3" s="1"/>
  <c r="M100" i="3"/>
  <c r="J83" i="25"/>
  <c r="K83" i="25" s="1"/>
  <c r="J82" i="25"/>
  <c r="K82" i="25" s="1"/>
  <c r="J69" i="25"/>
  <c r="K69" i="25" s="1"/>
  <c r="J70" i="25"/>
  <c r="K70" i="25" s="1"/>
  <c r="J78" i="25"/>
  <c r="K78" i="25" s="1"/>
  <c r="J81" i="25"/>
  <c r="K81" i="25" s="1"/>
  <c r="J85" i="25"/>
  <c r="K85" i="25" s="1"/>
  <c r="J56" i="25"/>
  <c r="K56" i="25" s="1"/>
  <c r="J49" i="25"/>
  <c r="K49" i="25" s="1"/>
  <c r="J53" i="25"/>
  <c r="K53" i="25" s="1"/>
  <c r="J57" i="25"/>
  <c r="K57" i="25" s="1"/>
  <c r="J71" i="25"/>
  <c r="K71" i="25" s="1"/>
  <c r="J76" i="25"/>
  <c r="K76" i="25" s="1"/>
  <c r="J77" i="25"/>
  <c r="K77" i="25" s="1"/>
  <c r="J50" i="25"/>
  <c r="K50" i="25" s="1"/>
  <c r="J72" i="25"/>
  <c r="K72" i="25" s="1"/>
  <c r="J68" i="25"/>
  <c r="K68" i="25" s="1"/>
  <c r="J59" i="25"/>
  <c r="K59" i="25" s="1"/>
  <c r="J73" i="25"/>
  <c r="K73" i="25" s="1"/>
  <c r="J60" i="25"/>
  <c r="K60" i="25" s="1"/>
  <c r="J41" i="25"/>
  <c r="K41" i="25" s="1"/>
  <c r="J51" i="25"/>
  <c r="K51" i="25" s="1"/>
  <c r="J55" i="25"/>
  <c r="K55" i="25" s="1"/>
  <c r="J58" i="25"/>
  <c r="K58" i="25" s="1"/>
  <c r="J52" i="25"/>
  <c r="K52" i="25" s="1"/>
  <c r="J62" i="25"/>
  <c r="K62" i="25" s="1"/>
  <c r="J61" i="25"/>
  <c r="K61" i="25" s="1"/>
  <c r="J64" i="25"/>
  <c r="K64" i="25" s="1"/>
  <c r="J32" i="25"/>
  <c r="K32" i="25" s="1"/>
  <c r="J36" i="25"/>
  <c r="K36" i="25" s="1"/>
  <c r="J54" i="25"/>
  <c r="K54" i="25" s="1"/>
  <c r="J33" i="25"/>
  <c r="K33" i="25" s="1"/>
  <c r="J27" i="25"/>
  <c r="K27" i="25" s="1"/>
  <c r="J48" i="25"/>
  <c r="K48" i="25" s="1"/>
  <c r="J44" i="25"/>
  <c r="K44" i="25" s="1"/>
  <c r="J28" i="25"/>
  <c r="K28" i="25" s="1"/>
  <c r="J40" i="25"/>
  <c r="K40" i="25" s="1"/>
  <c r="J34" i="25"/>
  <c r="K34" i="25" s="1"/>
  <c r="J45" i="25"/>
  <c r="K45" i="25" s="1"/>
  <c r="J38" i="25"/>
  <c r="K38" i="25" s="1"/>
  <c r="J42" i="25"/>
  <c r="K42" i="25" s="1"/>
  <c r="J30" i="25"/>
  <c r="K30" i="25" s="1"/>
  <c r="J37" i="25"/>
  <c r="K37" i="25" s="1"/>
  <c r="J35" i="25"/>
  <c r="K35" i="25" s="1"/>
  <c r="J26" i="25"/>
  <c r="K26" i="25" s="1"/>
  <c r="J25" i="25"/>
  <c r="K25" i="25" s="1"/>
  <c r="J39" i="25"/>
  <c r="K39" i="25" s="1"/>
  <c r="J43" i="25"/>
  <c r="K43" i="25" s="1"/>
  <c r="J31" i="25"/>
  <c r="K31" i="25" s="1"/>
  <c r="J29" i="25"/>
  <c r="K29" i="25" s="1"/>
  <c r="J24" i="25"/>
  <c r="K24" i="25" s="1"/>
  <c r="J9" i="25"/>
  <c r="K9" i="25" s="1"/>
  <c r="J21" i="25"/>
  <c r="K21" i="25" s="1"/>
  <c r="J23" i="25"/>
  <c r="K23" i="25" s="1"/>
  <c r="J13" i="25"/>
  <c r="K13" i="25" s="1"/>
  <c r="J20" i="25"/>
  <c r="K20" i="25" s="1"/>
  <c r="J11" i="25"/>
  <c r="K11" i="25" s="1"/>
  <c r="J18" i="25"/>
  <c r="K18" i="25" s="1"/>
  <c r="J22" i="25"/>
  <c r="K22" i="25" s="1"/>
  <c r="J19" i="25"/>
  <c r="K19" i="25" s="1"/>
  <c r="J14" i="25"/>
  <c r="K14" i="25" s="1"/>
  <c r="J15" i="25"/>
  <c r="K15" i="25" s="1"/>
  <c r="J12" i="25"/>
  <c r="K12" i="25" s="1"/>
  <c r="J10" i="25"/>
  <c r="K10" i="25" s="1"/>
  <c r="J4" i="25"/>
  <c r="K4" i="25" s="1"/>
  <c r="J5" i="25"/>
  <c r="K5" i="25" s="1"/>
  <c r="J6" i="25"/>
  <c r="K6" i="25" s="1"/>
  <c r="J7" i="25"/>
  <c r="K7" i="25" s="1"/>
  <c r="J8" i="25"/>
  <c r="K8" i="25" s="1"/>
  <c r="J2" i="25"/>
  <c r="K2" i="25" s="1"/>
  <c r="J3" i="25"/>
  <c r="K3" i="25" s="1"/>
  <c r="I47" i="4" l="1"/>
  <c r="F47" i="4"/>
  <c r="I46" i="4"/>
  <c r="F46" i="4"/>
  <c r="H7" i="5"/>
  <c r="L5" i="19"/>
  <c r="L6" i="19" s="1"/>
  <c r="K5" i="19"/>
  <c r="K6" i="19" s="1"/>
  <c r="M4" i="19"/>
  <c r="M3" i="19"/>
  <c r="B25" i="23"/>
  <c r="F26" i="23" s="1"/>
  <c r="F5" i="23"/>
  <c r="F4" i="23"/>
  <c r="E12" i="23"/>
  <c r="F12" i="23" s="1"/>
  <c r="B12" i="23"/>
  <c r="I78" i="4"/>
  <c r="F78" i="4"/>
  <c r="I77" i="4"/>
  <c r="F77" i="4"/>
  <c r="H6" i="5"/>
  <c r="H8" i="5" s="1"/>
  <c r="C48" i="19"/>
  <c r="C117" i="19" s="1"/>
  <c r="H8" i="19"/>
  <c r="G8" i="19"/>
  <c r="F8" i="19"/>
  <c r="I70" i="4"/>
  <c r="F70" i="4"/>
  <c r="I69" i="4"/>
  <c r="F69" i="4"/>
  <c r="E122" i="16"/>
  <c r="I82" i="4"/>
  <c r="F82" i="4"/>
  <c r="I11" i="4"/>
  <c r="F11" i="4"/>
  <c r="H10" i="4"/>
  <c r="I10" i="4" s="1"/>
  <c r="F10" i="4"/>
  <c r="M156" i="18"/>
  <c r="I142" i="18"/>
  <c r="F142" i="18"/>
  <c r="H141" i="18"/>
  <c r="I141" i="18" s="1"/>
  <c r="F141" i="18"/>
  <c r="I140" i="18"/>
  <c r="F140" i="18"/>
  <c r="H139" i="18"/>
  <c r="I139" i="18" s="1"/>
  <c r="F139" i="18"/>
  <c r="I138" i="18"/>
  <c r="F138" i="18"/>
  <c r="H137" i="18"/>
  <c r="I137" i="18" s="1"/>
  <c r="F137" i="18"/>
  <c r="I136" i="18"/>
  <c r="F136" i="18"/>
  <c r="H135" i="18"/>
  <c r="I135" i="18" s="1"/>
  <c r="F135" i="18"/>
  <c r="I134" i="18"/>
  <c r="F134" i="18"/>
  <c r="H133" i="18"/>
  <c r="I133" i="18" s="1"/>
  <c r="F133" i="18"/>
  <c r="I132" i="18"/>
  <c r="F132" i="18"/>
  <c r="H131" i="18"/>
  <c r="I131" i="18" s="1"/>
  <c r="F131" i="18"/>
  <c r="I130" i="18"/>
  <c r="F130" i="18"/>
  <c r="H129" i="18"/>
  <c r="I129" i="18" s="1"/>
  <c r="F129" i="18"/>
  <c r="M128" i="18"/>
  <c r="I128" i="18"/>
  <c r="F128" i="18"/>
  <c r="M127" i="18"/>
  <c r="H127" i="18"/>
  <c r="I127" i="18" s="1"/>
  <c r="F127" i="18"/>
  <c r="H126" i="18"/>
  <c r="I126" i="18" s="1"/>
  <c r="F126" i="18"/>
  <c r="H125" i="18"/>
  <c r="I125" i="18" s="1"/>
  <c r="F125" i="18"/>
  <c r="I124" i="18"/>
  <c r="F124" i="18"/>
  <c r="H123" i="18"/>
  <c r="I123" i="18" s="1"/>
  <c r="F123" i="18"/>
  <c r="I122" i="18"/>
  <c r="F122" i="18"/>
  <c r="I121" i="18"/>
  <c r="F121" i="18"/>
  <c r="H120" i="18"/>
  <c r="I120" i="18" s="1"/>
  <c r="F120" i="18"/>
  <c r="I119" i="18"/>
  <c r="F119" i="18"/>
  <c r="H118" i="18"/>
  <c r="I118" i="18" s="1"/>
  <c r="F118" i="18"/>
  <c r="I117" i="18"/>
  <c r="F117" i="18"/>
  <c r="H116" i="18"/>
  <c r="I116" i="18" s="1"/>
  <c r="F116" i="18"/>
  <c r="I115" i="18"/>
  <c r="F115" i="18"/>
  <c r="H114" i="18"/>
  <c r="I114" i="18" s="1"/>
  <c r="F114" i="18"/>
  <c r="I113" i="18"/>
  <c r="F113" i="18"/>
  <c r="H112" i="18"/>
  <c r="I112" i="18" s="1"/>
  <c r="F112" i="18"/>
  <c r="I111" i="18"/>
  <c r="F111" i="18"/>
  <c r="H110" i="18"/>
  <c r="I110" i="18" s="1"/>
  <c r="F110" i="18"/>
  <c r="J110" i="18" s="1"/>
  <c r="K110" i="18" s="1"/>
  <c r="I109" i="18"/>
  <c r="F109" i="18"/>
  <c r="H108" i="18"/>
  <c r="I108" i="18" s="1"/>
  <c r="F108" i="18"/>
  <c r="I107" i="18"/>
  <c r="F107" i="18"/>
  <c r="H106" i="18"/>
  <c r="I106" i="18" s="1"/>
  <c r="F106" i="18"/>
  <c r="I105" i="18"/>
  <c r="F105" i="18"/>
  <c r="I104" i="18"/>
  <c r="F104" i="18"/>
  <c r="I101" i="18"/>
  <c r="F101" i="18"/>
  <c r="I100" i="18"/>
  <c r="F100" i="18"/>
  <c r="I99" i="18"/>
  <c r="F99" i="18"/>
  <c r="H98" i="18"/>
  <c r="I98" i="18" s="1"/>
  <c r="F98" i="18"/>
  <c r="H96" i="18"/>
  <c r="I96" i="18" s="1"/>
  <c r="F96" i="18"/>
  <c r="I94" i="18"/>
  <c r="F94" i="18"/>
  <c r="I93" i="18"/>
  <c r="F93" i="18"/>
  <c r="M92" i="18"/>
  <c r="I92" i="18"/>
  <c r="F92" i="18"/>
  <c r="H91" i="18"/>
  <c r="I91" i="18" s="1"/>
  <c r="F91" i="18"/>
  <c r="I90" i="18"/>
  <c r="F90" i="18"/>
  <c r="I89" i="18"/>
  <c r="F89" i="18"/>
  <c r="I88" i="18"/>
  <c r="F88" i="18"/>
  <c r="H87" i="18"/>
  <c r="I87" i="18" s="1"/>
  <c r="F87" i="18"/>
  <c r="I86" i="18"/>
  <c r="F86" i="18"/>
  <c r="H85" i="18"/>
  <c r="I85" i="18" s="1"/>
  <c r="F85" i="18"/>
  <c r="H83" i="18"/>
  <c r="I83" i="18" s="1"/>
  <c r="F83" i="18"/>
  <c r="I82" i="18"/>
  <c r="F82" i="18"/>
  <c r="H81" i="18"/>
  <c r="I81" i="18" s="1"/>
  <c r="F81" i="18"/>
  <c r="I80" i="18"/>
  <c r="F80" i="18"/>
  <c r="H79" i="18"/>
  <c r="I79" i="18" s="1"/>
  <c r="F79" i="18"/>
  <c r="I78" i="18"/>
  <c r="F78" i="18"/>
  <c r="H77" i="18"/>
  <c r="I77" i="18" s="1"/>
  <c r="F77" i="18"/>
  <c r="I76" i="18"/>
  <c r="F76" i="18"/>
  <c r="H75" i="18"/>
  <c r="I75" i="18" s="1"/>
  <c r="F75" i="18"/>
  <c r="I74" i="18"/>
  <c r="F74" i="18"/>
  <c r="H73" i="18"/>
  <c r="I73" i="18" s="1"/>
  <c r="F73" i="18"/>
  <c r="I72" i="18"/>
  <c r="F72" i="18"/>
  <c r="H71" i="18"/>
  <c r="I71" i="18" s="1"/>
  <c r="F71" i="18"/>
  <c r="I70" i="18"/>
  <c r="F70" i="18"/>
  <c r="H69" i="18"/>
  <c r="I69" i="18" s="1"/>
  <c r="F69" i="18"/>
  <c r="I68" i="18"/>
  <c r="F68" i="18"/>
  <c r="H67" i="18"/>
  <c r="I67" i="18" s="1"/>
  <c r="F67" i="18"/>
  <c r="I66" i="18"/>
  <c r="F66" i="18"/>
  <c r="H65" i="18"/>
  <c r="I65" i="18" s="1"/>
  <c r="F65" i="18"/>
  <c r="I64" i="18"/>
  <c r="F64" i="18"/>
  <c r="H63" i="18"/>
  <c r="I63" i="18" s="1"/>
  <c r="F63" i="18"/>
  <c r="I62" i="18"/>
  <c r="F62" i="18"/>
  <c r="H61" i="18"/>
  <c r="I61" i="18" s="1"/>
  <c r="F61" i="18"/>
  <c r="I60" i="18"/>
  <c r="F60" i="18"/>
  <c r="H59" i="18"/>
  <c r="I59" i="18" s="1"/>
  <c r="F59" i="18"/>
  <c r="H58" i="18"/>
  <c r="I58" i="18" s="1"/>
  <c r="F58" i="18"/>
  <c r="H57" i="18"/>
  <c r="I57" i="18" s="1"/>
  <c r="F57" i="18"/>
  <c r="M56" i="18"/>
  <c r="I56" i="18"/>
  <c r="F56" i="18"/>
  <c r="H55" i="18"/>
  <c r="I55" i="18" s="1"/>
  <c r="F55" i="18"/>
  <c r="I54" i="18"/>
  <c r="F54" i="18"/>
  <c r="H53" i="18"/>
  <c r="I53" i="18" s="1"/>
  <c r="F53" i="18"/>
  <c r="I52" i="18"/>
  <c r="F52" i="18"/>
  <c r="I51" i="18"/>
  <c r="F51" i="18"/>
  <c r="J51" i="18" s="1"/>
  <c r="K51" i="18" s="1"/>
  <c r="I50" i="18"/>
  <c r="F50" i="18"/>
  <c r="H49" i="18"/>
  <c r="I49" i="18" s="1"/>
  <c r="F49" i="18"/>
  <c r="I48" i="18"/>
  <c r="F48" i="18"/>
  <c r="H47" i="18"/>
  <c r="I47" i="18" s="1"/>
  <c r="F47" i="18"/>
  <c r="I46" i="18"/>
  <c r="F46" i="18"/>
  <c r="I45" i="18"/>
  <c r="F45" i="18"/>
  <c r="I44" i="18"/>
  <c r="F44" i="18"/>
  <c r="H43" i="18"/>
  <c r="I43" i="18" s="1"/>
  <c r="F43" i="18"/>
  <c r="I42" i="18"/>
  <c r="F42" i="18"/>
  <c r="J42" i="18" s="1"/>
  <c r="K42" i="18" s="1"/>
  <c r="I41" i="18"/>
  <c r="F41" i="18"/>
  <c r="I40" i="18"/>
  <c r="F40" i="18"/>
  <c r="H39" i="18"/>
  <c r="I39" i="18" s="1"/>
  <c r="F39" i="18"/>
  <c r="I38" i="18"/>
  <c r="F38" i="18"/>
  <c r="H37" i="18"/>
  <c r="I37" i="18" s="1"/>
  <c r="F37" i="18"/>
  <c r="I36" i="18"/>
  <c r="F36" i="18"/>
  <c r="I35" i="18"/>
  <c r="F35" i="18"/>
  <c r="I34" i="18"/>
  <c r="F34" i="18"/>
  <c r="H33" i="18"/>
  <c r="I33" i="18" s="1"/>
  <c r="F33" i="18"/>
  <c r="I32" i="18"/>
  <c r="F32" i="18"/>
  <c r="J32" i="18" s="1"/>
  <c r="K32" i="18" s="1"/>
  <c r="H31" i="18"/>
  <c r="I31" i="18" s="1"/>
  <c r="F31" i="18"/>
  <c r="I30" i="18"/>
  <c r="F30" i="18"/>
  <c r="H29" i="18"/>
  <c r="I29" i="18" s="1"/>
  <c r="F29" i="18"/>
  <c r="I28" i="18"/>
  <c r="F28" i="18"/>
  <c r="H27" i="18"/>
  <c r="I27" i="18" s="1"/>
  <c r="F27" i="18"/>
  <c r="I26" i="18"/>
  <c r="F26" i="18"/>
  <c r="K25" i="18"/>
  <c r="H25" i="18"/>
  <c r="I25" i="18" s="1"/>
  <c r="F25" i="18"/>
  <c r="I24" i="18"/>
  <c r="F24" i="18"/>
  <c r="H23" i="18"/>
  <c r="I23" i="18" s="1"/>
  <c r="F23" i="18"/>
  <c r="I22" i="18"/>
  <c r="F22" i="18"/>
  <c r="H21" i="18"/>
  <c r="I21" i="18" s="1"/>
  <c r="F21" i="18"/>
  <c r="H20" i="18"/>
  <c r="I20" i="18" s="1"/>
  <c r="F20" i="18"/>
  <c r="H19" i="18"/>
  <c r="I19" i="18" s="1"/>
  <c r="F19" i="18"/>
  <c r="I18" i="18"/>
  <c r="F18" i="18"/>
  <c r="H17" i="18"/>
  <c r="I17" i="18" s="1"/>
  <c r="F17" i="18"/>
  <c r="I16" i="18"/>
  <c r="F16" i="18"/>
  <c r="H15" i="18"/>
  <c r="I15" i="18" s="1"/>
  <c r="F15" i="18"/>
  <c r="I14" i="18"/>
  <c r="F14" i="18"/>
  <c r="H13" i="18"/>
  <c r="I13" i="18" s="1"/>
  <c r="F13" i="18"/>
  <c r="I12" i="18"/>
  <c r="F12" i="18"/>
  <c r="I11" i="18"/>
  <c r="F11" i="18"/>
  <c r="I10" i="18"/>
  <c r="F10" i="18"/>
  <c r="H9" i="18"/>
  <c r="I9" i="18" s="1"/>
  <c r="F9" i="18"/>
  <c r="I8" i="18"/>
  <c r="F8" i="18"/>
  <c r="H7" i="18"/>
  <c r="I7" i="18" s="1"/>
  <c r="F7" i="18"/>
  <c r="I5" i="18"/>
  <c r="F5" i="18"/>
  <c r="H4" i="18"/>
  <c r="I4" i="18" s="1"/>
  <c r="F4" i="18"/>
  <c r="I3" i="18"/>
  <c r="F3" i="18"/>
  <c r="H2" i="18"/>
  <c r="I2" i="18" s="1"/>
  <c r="F2" i="18"/>
  <c r="I94" i="4"/>
  <c r="F94" i="4"/>
  <c r="I64" i="4"/>
  <c r="F64" i="4"/>
  <c r="H15" i="5"/>
  <c r="I41" i="4"/>
  <c r="F41" i="4"/>
  <c r="I40" i="4"/>
  <c r="F40" i="4"/>
  <c r="I73" i="4"/>
  <c r="F73" i="4"/>
  <c r="I72" i="4"/>
  <c r="F72" i="4"/>
  <c r="I56" i="4"/>
  <c r="F56" i="4"/>
  <c r="I55" i="4"/>
  <c r="F55" i="4"/>
  <c r="I35" i="4"/>
  <c r="F35" i="4"/>
  <c r="I34" i="4"/>
  <c r="F34" i="4"/>
  <c r="I58" i="4"/>
  <c r="F58" i="4"/>
  <c r="H57" i="4"/>
  <c r="I57" i="4" s="1"/>
  <c r="F57" i="4"/>
  <c r="B5" i="10"/>
  <c r="G5" i="10"/>
  <c r="E5" i="10"/>
  <c r="C5" i="10"/>
  <c r="M186" i="3"/>
  <c r="H84" i="4"/>
  <c r="I84" i="4" s="1"/>
  <c r="F84" i="4"/>
  <c r="H83" i="4"/>
  <c r="I83" i="4" s="1"/>
  <c r="F83" i="4"/>
  <c r="I60" i="4"/>
  <c r="F60" i="4"/>
  <c r="H59" i="4"/>
  <c r="I59" i="4" s="1"/>
  <c r="F59" i="4"/>
  <c r="I26" i="4"/>
  <c r="F26" i="4"/>
  <c r="H25" i="4"/>
  <c r="I25" i="4" s="1"/>
  <c r="F25" i="4"/>
  <c r="H88" i="4"/>
  <c r="I88" i="4" s="1"/>
  <c r="F88" i="4"/>
  <c r="I93" i="4"/>
  <c r="F93" i="4"/>
  <c r="H15" i="4"/>
  <c r="I15" i="4" s="1"/>
  <c r="F15" i="4"/>
  <c r="J6" i="5"/>
  <c r="K6" i="5" s="1"/>
  <c r="K123" i="1"/>
  <c r="K122" i="1"/>
  <c r="K121" i="1"/>
  <c r="K120" i="1"/>
  <c r="K119" i="1"/>
  <c r="K118" i="1"/>
  <c r="K117" i="1"/>
  <c r="K116" i="1"/>
  <c r="K115" i="1"/>
  <c r="K114" i="1"/>
  <c r="K113" i="1"/>
  <c r="K112" i="1"/>
  <c r="K111" i="1"/>
  <c r="K110" i="1"/>
  <c r="K109" i="1"/>
  <c r="K108" i="1"/>
  <c r="K107" i="1"/>
  <c r="K106" i="1"/>
  <c r="K105" i="1"/>
  <c r="K104" i="1"/>
  <c r="K103" i="1"/>
  <c r="K102" i="1"/>
  <c r="K101" i="1"/>
  <c r="K100" i="1"/>
  <c r="K99" i="1"/>
  <c r="K98" i="1"/>
  <c r="K97" i="1"/>
  <c r="K96" i="1"/>
  <c r="K95" i="1"/>
  <c r="K94" i="1"/>
  <c r="K93" i="1"/>
  <c r="K92" i="1"/>
  <c r="K91" i="1"/>
  <c r="K90" i="1"/>
  <c r="K89" i="1"/>
  <c r="K88"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K56" i="1"/>
  <c r="K55" i="1"/>
  <c r="K54" i="1"/>
  <c r="K53" i="1"/>
  <c r="K52" i="1"/>
  <c r="K51" i="1"/>
  <c r="K50" i="1"/>
  <c r="K49" i="1"/>
  <c r="K48" i="1"/>
  <c r="K47" i="1"/>
  <c r="K46" i="1"/>
  <c r="K45" i="1"/>
  <c r="K44" i="1"/>
  <c r="K43" i="1"/>
  <c r="K42" i="1"/>
  <c r="K41" i="1"/>
  <c r="K40" i="1"/>
  <c r="K39" i="1"/>
  <c r="K38" i="1"/>
  <c r="K37" i="1"/>
  <c r="K36" i="1"/>
  <c r="K35" i="1"/>
  <c r="K34" i="1"/>
  <c r="K33" i="1"/>
  <c r="K32" i="1"/>
  <c r="K31" i="1"/>
  <c r="K30" i="1"/>
  <c r="K29" i="1"/>
  <c r="K28" i="1"/>
  <c r="K27" i="1"/>
  <c r="K26" i="1"/>
  <c r="K25" i="1"/>
  <c r="K24" i="1"/>
  <c r="K23" i="1"/>
  <c r="K22" i="1"/>
  <c r="K21" i="1"/>
  <c r="K20" i="1"/>
  <c r="K19" i="1"/>
  <c r="K18" i="1"/>
  <c r="K17" i="1"/>
  <c r="K16" i="1"/>
  <c r="K15" i="1"/>
  <c r="K14" i="1"/>
  <c r="K13" i="1"/>
  <c r="K12" i="1"/>
  <c r="K11" i="1"/>
  <c r="K10" i="1"/>
  <c r="K9" i="1"/>
  <c r="K8" i="1"/>
  <c r="K7" i="1"/>
  <c r="K6" i="1"/>
  <c r="K5" i="1"/>
  <c r="K4" i="1"/>
  <c r="K3" i="1"/>
  <c r="K2" i="1"/>
  <c r="I68" i="4"/>
  <c r="F68" i="4"/>
  <c r="J123" i="1"/>
  <c r="J122" i="1"/>
  <c r="J121" i="1"/>
  <c r="J120" i="1"/>
  <c r="J119" i="1"/>
  <c r="J118" i="1"/>
  <c r="J117" i="1"/>
  <c r="J116" i="1"/>
  <c r="J115" i="1"/>
  <c r="J114" i="1"/>
  <c r="J113" i="1"/>
  <c r="J112" i="1"/>
  <c r="J111" i="1"/>
  <c r="J110" i="1"/>
  <c r="J109" i="1"/>
  <c r="J108" i="1"/>
  <c r="J107" i="1"/>
  <c r="J106" i="1"/>
  <c r="J105" i="1"/>
  <c r="J104" i="1"/>
  <c r="J103" i="1"/>
  <c r="J102" i="1"/>
  <c r="J101" i="1"/>
  <c r="J100" i="1"/>
  <c r="J99" i="1"/>
  <c r="J98" i="1"/>
  <c r="J97" i="1"/>
  <c r="J96" i="1"/>
  <c r="J95" i="1"/>
  <c r="J94" i="1"/>
  <c r="J93" i="1"/>
  <c r="J92" i="1"/>
  <c r="J91" i="1"/>
  <c r="J90" i="1"/>
  <c r="J89" i="1"/>
  <c r="J88" i="1"/>
  <c r="J87" i="1"/>
  <c r="J86" i="1"/>
  <c r="J85" i="1"/>
  <c r="J84" i="1"/>
  <c r="J83" i="1"/>
  <c r="J82" i="1"/>
  <c r="J81" i="1"/>
  <c r="J80" i="1"/>
  <c r="J79" i="1"/>
  <c r="J78" i="1"/>
  <c r="J77" i="1"/>
  <c r="J76" i="1"/>
  <c r="J75" i="1"/>
  <c r="J74" i="1"/>
  <c r="J73" i="1"/>
  <c r="J72" i="1"/>
  <c r="J71" i="1"/>
  <c r="J70" i="1"/>
  <c r="J69" i="1"/>
  <c r="J68" i="1"/>
  <c r="J67" i="1"/>
  <c r="J66" i="1"/>
  <c r="J65" i="1"/>
  <c r="J64" i="1"/>
  <c r="J63" i="1"/>
  <c r="J62" i="1"/>
  <c r="J61" i="1"/>
  <c r="J60" i="1"/>
  <c r="J59" i="1"/>
  <c r="J58" i="1"/>
  <c r="J57" i="1"/>
  <c r="J56" i="1"/>
  <c r="J55" i="1"/>
  <c r="J54" i="1"/>
  <c r="J53" i="1"/>
  <c r="J52" i="1"/>
  <c r="J51" i="1"/>
  <c r="J50" i="1"/>
  <c r="J49" i="1"/>
  <c r="J48" i="1"/>
  <c r="J47" i="1"/>
  <c r="J46" i="1"/>
  <c r="J45" i="1"/>
  <c r="J44" i="1"/>
  <c r="J43" i="1"/>
  <c r="J42" i="1"/>
  <c r="J41" i="1"/>
  <c r="J40" i="1"/>
  <c r="J39" i="1"/>
  <c r="J38" i="1"/>
  <c r="J37" i="1"/>
  <c r="J36" i="1"/>
  <c r="J35" i="1"/>
  <c r="J34" i="1"/>
  <c r="J33" i="1"/>
  <c r="J32" i="1"/>
  <c r="J31" i="1"/>
  <c r="J30" i="1"/>
  <c r="J29" i="1"/>
  <c r="J28" i="1"/>
  <c r="J27" i="1"/>
  <c r="J26" i="1"/>
  <c r="J25" i="1"/>
  <c r="J24" i="1"/>
  <c r="J23" i="1"/>
  <c r="J22" i="1"/>
  <c r="J21" i="1"/>
  <c r="J20" i="1"/>
  <c r="J19" i="1"/>
  <c r="J18" i="1"/>
  <c r="J17" i="1"/>
  <c r="J16" i="1"/>
  <c r="J15" i="1"/>
  <c r="J14" i="1"/>
  <c r="J13" i="1"/>
  <c r="J12" i="1"/>
  <c r="J11" i="1"/>
  <c r="J10" i="1"/>
  <c r="J9" i="1"/>
  <c r="J8" i="1"/>
  <c r="J7" i="1"/>
  <c r="J6" i="1"/>
  <c r="J5" i="1"/>
  <c r="J4" i="1"/>
  <c r="J3" i="1"/>
  <c r="J2" i="1"/>
  <c r="I60" i="6"/>
  <c r="F60" i="6"/>
  <c r="H59" i="6"/>
  <c r="I59" i="6" s="1"/>
  <c r="F59" i="6"/>
  <c r="M58" i="6"/>
  <c r="I58" i="6"/>
  <c r="F58" i="6"/>
  <c r="H57" i="6"/>
  <c r="I57" i="6" s="1"/>
  <c r="F57" i="6"/>
  <c r="I56" i="6"/>
  <c r="F56" i="6"/>
  <c r="H55" i="6"/>
  <c r="I55" i="6" s="1"/>
  <c r="F55" i="6"/>
  <c r="I54" i="6"/>
  <c r="F54" i="6"/>
  <c r="H53" i="6"/>
  <c r="I53" i="6" s="1"/>
  <c r="F53" i="6"/>
  <c r="I52" i="6"/>
  <c r="F52" i="6"/>
  <c r="H51" i="6"/>
  <c r="I51" i="6" s="1"/>
  <c r="F51" i="6"/>
  <c r="I50" i="6"/>
  <c r="F50" i="6"/>
  <c r="J50" i="6" s="1"/>
  <c r="K50" i="6" s="1"/>
  <c r="M49" i="6"/>
  <c r="H49" i="6"/>
  <c r="I49" i="6" s="1"/>
  <c r="F49" i="6"/>
  <c r="I48" i="6"/>
  <c r="F48" i="6"/>
  <c r="I47" i="6"/>
  <c r="F47" i="6"/>
  <c r="I46" i="6"/>
  <c r="F46" i="6"/>
  <c r="I45" i="6"/>
  <c r="F45" i="6"/>
  <c r="I44" i="6"/>
  <c r="F44" i="6"/>
  <c r="I43" i="6"/>
  <c r="F43" i="6"/>
  <c r="I42" i="6"/>
  <c r="F42" i="6"/>
  <c r="I41" i="6"/>
  <c r="F41" i="6"/>
  <c r="I40" i="6"/>
  <c r="F40" i="6"/>
  <c r="I39" i="6"/>
  <c r="F39" i="6"/>
  <c r="I38" i="6"/>
  <c r="F38" i="6"/>
  <c r="I37" i="6"/>
  <c r="F37" i="6"/>
  <c r="I36" i="6"/>
  <c r="F36" i="6"/>
  <c r="I35" i="6"/>
  <c r="F35" i="6"/>
  <c r="H34" i="6"/>
  <c r="I34" i="6" s="1"/>
  <c r="F34" i="6"/>
  <c r="H33" i="6"/>
  <c r="I33" i="6" s="1"/>
  <c r="F33" i="6"/>
  <c r="H32" i="6"/>
  <c r="I32" i="6" s="1"/>
  <c r="F32" i="6"/>
  <c r="I31" i="6"/>
  <c r="F31" i="6"/>
  <c r="H30" i="6"/>
  <c r="I30" i="6" s="1"/>
  <c r="F30" i="6"/>
  <c r="I29" i="6"/>
  <c r="F29" i="6"/>
  <c r="H28" i="6"/>
  <c r="I28" i="6" s="1"/>
  <c r="F28" i="6"/>
  <c r="H27" i="6"/>
  <c r="I27" i="6" s="1"/>
  <c r="F27" i="6"/>
  <c r="H26" i="6"/>
  <c r="I26" i="6" s="1"/>
  <c r="F26" i="6"/>
  <c r="I25" i="6"/>
  <c r="F25" i="6"/>
  <c r="H24" i="6"/>
  <c r="I24" i="6" s="1"/>
  <c r="F24" i="6"/>
  <c r="I23" i="6"/>
  <c r="F23" i="6"/>
  <c r="H22" i="6"/>
  <c r="I22" i="6" s="1"/>
  <c r="F22" i="6"/>
  <c r="I21" i="6"/>
  <c r="F21" i="6"/>
  <c r="H20" i="6"/>
  <c r="I20" i="6" s="1"/>
  <c r="F20" i="6"/>
  <c r="I19" i="6"/>
  <c r="F19" i="6"/>
  <c r="H18" i="6"/>
  <c r="I18" i="6" s="1"/>
  <c r="F18" i="6"/>
  <c r="I17" i="6"/>
  <c r="F17" i="6"/>
  <c r="H16" i="6"/>
  <c r="I16" i="6" s="1"/>
  <c r="F16" i="6"/>
  <c r="I15" i="6"/>
  <c r="F15" i="6"/>
  <c r="H14" i="6"/>
  <c r="I14" i="6" s="1"/>
  <c r="F14" i="6"/>
  <c r="I13" i="6"/>
  <c r="F13" i="6"/>
  <c r="H12" i="6"/>
  <c r="I12" i="6" s="1"/>
  <c r="F12" i="6"/>
  <c r="H11" i="6"/>
  <c r="F11" i="6"/>
  <c r="I10" i="6"/>
  <c r="F10" i="6"/>
  <c r="H9" i="6"/>
  <c r="I9" i="6" s="1"/>
  <c r="F9" i="6"/>
  <c r="H8" i="6"/>
  <c r="I8" i="6" s="1"/>
  <c r="F8" i="6"/>
  <c r="H7" i="6"/>
  <c r="I7" i="6" s="1"/>
  <c r="F7" i="6"/>
  <c r="H6" i="6"/>
  <c r="I6" i="6" s="1"/>
  <c r="F6" i="6"/>
  <c r="I5" i="6"/>
  <c r="F5" i="6"/>
  <c r="H4" i="6"/>
  <c r="I4" i="6" s="1"/>
  <c r="F4" i="6"/>
  <c r="I3" i="6"/>
  <c r="F3" i="6"/>
  <c r="H2" i="6"/>
  <c r="I2" i="6" s="1"/>
  <c r="F2" i="6"/>
  <c r="C6" i="17"/>
  <c r="C4" i="17"/>
  <c r="C5" i="17"/>
  <c r="J7" i="18" l="1"/>
  <c r="K7" i="18" s="1"/>
  <c r="J68" i="18"/>
  <c r="K68" i="18" s="1"/>
  <c r="M5" i="19"/>
  <c r="M6" i="19" s="1"/>
  <c r="J46" i="4"/>
  <c r="K46" i="4" s="1"/>
  <c r="J47" i="4"/>
  <c r="K47" i="4" s="1"/>
  <c r="J70" i="4"/>
  <c r="K70" i="4" s="1"/>
  <c r="J78" i="4"/>
  <c r="K78" i="4" s="1"/>
  <c r="F13" i="23"/>
  <c r="J77" i="4"/>
  <c r="K77" i="4" s="1"/>
  <c r="J69" i="4"/>
  <c r="K69" i="4" s="1"/>
  <c r="J82" i="4"/>
  <c r="K82" i="4" s="1"/>
  <c r="J2" i="18"/>
  <c r="K2" i="18" s="1"/>
  <c r="J3" i="18"/>
  <c r="K3" i="18" s="1"/>
  <c r="J8" i="18"/>
  <c r="K8" i="18" s="1"/>
  <c r="J9" i="18"/>
  <c r="K9" i="18" s="1"/>
  <c r="J10" i="18"/>
  <c r="K10" i="18" s="1"/>
  <c r="J11" i="18"/>
  <c r="K11" i="18" s="1"/>
  <c r="J12" i="18"/>
  <c r="K12" i="18" s="1"/>
  <c r="J13" i="18"/>
  <c r="K13" i="18" s="1"/>
  <c r="J15" i="18"/>
  <c r="K15" i="18" s="1"/>
  <c r="J16" i="18"/>
  <c r="K16" i="18" s="1"/>
  <c r="J17" i="18"/>
  <c r="K17" i="18" s="1"/>
  <c r="J18" i="18"/>
  <c r="K18" i="18" s="1"/>
  <c r="J19" i="18"/>
  <c r="K19" i="18" s="1"/>
  <c r="J20" i="18"/>
  <c r="K20" i="18" s="1"/>
  <c r="J21" i="18"/>
  <c r="K21" i="18" s="1"/>
  <c r="J22" i="18"/>
  <c r="K22" i="18" s="1"/>
  <c r="J23" i="18"/>
  <c r="K23" i="18" s="1"/>
  <c r="J24" i="18"/>
  <c r="K24" i="18" s="1"/>
  <c r="J26" i="18"/>
  <c r="K26" i="18" s="1"/>
  <c r="J27" i="18"/>
  <c r="K27" i="18" s="1"/>
  <c r="J28" i="18"/>
  <c r="K28" i="18" s="1"/>
  <c r="J29" i="18"/>
  <c r="K29" i="18" s="1"/>
  <c r="J31" i="18"/>
  <c r="K31" i="18" s="1"/>
  <c r="J33" i="18"/>
  <c r="K33" i="18" s="1"/>
  <c r="J34" i="18"/>
  <c r="K34" i="18" s="1"/>
  <c r="J35" i="18"/>
  <c r="K35" i="18" s="1"/>
  <c r="J37" i="18"/>
  <c r="K37" i="18" s="1"/>
  <c r="J39" i="18"/>
  <c r="K39" i="18" s="1"/>
  <c r="J40" i="18"/>
  <c r="K40" i="18" s="1"/>
  <c r="J43" i="18"/>
  <c r="K43" i="18" s="1"/>
  <c r="J44" i="18"/>
  <c r="K44" i="18" s="1"/>
  <c r="J45" i="18"/>
  <c r="K45" i="18" s="1"/>
  <c r="J47" i="18"/>
  <c r="K47" i="18" s="1"/>
  <c r="J48" i="18"/>
  <c r="K48" i="18" s="1"/>
  <c r="J50" i="18"/>
  <c r="K50" i="18" s="1"/>
  <c r="J54" i="18"/>
  <c r="K54" i="18" s="1"/>
  <c r="J55" i="18"/>
  <c r="K55" i="18" s="1"/>
  <c r="J56" i="18"/>
  <c r="K56" i="18" s="1"/>
  <c r="J57" i="18"/>
  <c r="K57" i="18" s="1"/>
  <c r="J58" i="18"/>
  <c r="K58" i="18" s="1"/>
  <c r="J59" i="18"/>
  <c r="K59" i="18" s="1"/>
  <c r="J60" i="18"/>
  <c r="K60" i="18" s="1"/>
  <c r="J61" i="18"/>
  <c r="K61" i="18" s="1"/>
  <c r="J62" i="18"/>
  <c r="K62" i="18" s="1"/>
  <c r="J63" i="18"/>
  <c r="K63" i="18" s="1"/>
  <c r="J64" i="18"/>
  <c r="K64" i="18" s="1"/>
  <c r="J65" i="18"/>
  <c r="K65" i="18" s="1"/>
  <c r="J66" i="18"/>
  <c r="K66" i="18" s="1"/>
  <c r="J67" i="18"/>
  <c r="K67" i="18" s="1"/>
  <c r="J69" i="18"/>
  <c r="K69" i="18" s="1"/>
  <c r="J71" i="18"/>
  <c r="K71" i="18" s="1"/>
  <c r="J72" i="18"/>
  <c r="K72" i="18" s="1"/>
  <c r="J73" i="18"/>
  <c r="K73" i="18" s="1"/>
  <c r="J74" i="18"/>
  <c r="K74" i="18" s="1"/>
  <c r="J75" i="18"/>
  <c r="K75" i="18" s="1"/>
  <c r="J78" i="18"/>
  <c r="K78" i="18" s="1"/>
  <c r="J79" i="18"/>
  <c r="K79" i="18" s="1"/>
  <c r="J81" i="18"/>
  <c r="K81" i="18" s="1"/>
  <c r="J82" i="18"/>
  <c r="K82" i="18" s="1"/>
  <c r="J83" i="18"/>
  <c r="K83" i="18" s="1"/>
  <c r="J87" i="18"/>
  <c r="K87" i="18" s="1"/>
  <c r="J88" i="18"/>
  <c r="K88" i="18" s="1"/>
  <c r="J90" i="18"/>
  <c r="K90" i="18" s="1"/>
  <c r="J91" i="18"/>
  <c r="K91" i="18" s="1"/>
  <c r="J92" i="18"/>
  <c r="K92" i="18" s="1"/>
  <c r="J99" i="18"/>
  <c r="K99" i="18" s="1"/>
  <c r="J100" i="18"/>
  <c r="K100" i="18" s="1"/>
  <c r="J101" i="18"/>
  <c r="K101" i="18" s="1"/>
  <c r="J104" i="18"/>
  <c r="K104" i="18" s="1"/>
  <c r="J105" i="18"/>
  <c r="K105" i="18" s="1"/>
  <c r="J106" i="18"/>
  <c r="K106" i="18" s="1"/>
  <c r="J107" i="18"/>
  <c r="K107" i="18" s="1"/>
  <c r="J108" i="18"/>
  <c r="K108" i="18" s="1"/>
  <c r="J112" i="18"/>
  <c r="K112" i="18" s="1"/>
  <c r="J113" i="18"/>
  <c r="K113" i="18" s="1"/>
  <c r="J115" i="18"/>
  <c r="K115" i="18" s="1"/>
  <c r="J116" i="18"/>
  <c r="K116" i="18" s="1"/>
  <c r="J117" i="18"/>
  <c r="K117" i="18" s="1"/>
  <c r="J118" i="18"/>
  <c r="K118" i="18" s="1"/>
  <c r="J119" i="18"/>
  <c r="K119" i="18" s="1"/>
  <c r="J120" i="18"/>
  <c r="K120" i="18" s="1"/>
  <c r="J121" i="18"/>
  <c r="K121" i="18" s="1"/>
  <c r="J125" i="18"/>
  <c r="K125" i="18" s="1"/>
  <c r="J126" i="18"/>
  <c r="K126" i="18" s="1"/>
  <c r="J127" i="18"/>
  <c r="K127" i="18" s="1"/>
  <c r="M147" i="18"/>
  <c r="M158" i="18" s="1"/>
  <c r="J128" i="18"/>
  <c r="K128" i="18" s="1"/>
  <c r="J129" i="18"/>
  <c r="K129" i="18" s="1"/>
  <c r="J130" i="18"/>
  <c r="K130" i="18" s="1"/>
  <c r="J132" i="18"/>
  <c r="K132" i="18" s="1"/>
  <c r="J135" i="18"/>
  <c r="K135" i="18" s="1"/>
  <c r="J136" i="18"/>
  <c r="K136" i="18" s="1"/>
  <c r="J137" i="18"/>
  <c r="K137" i="18" s="1"/>
  <c r="J139" i="18"/>
  <c r="K139" i="18" s="1"/>
  <c r="J142" i="18"/>
  <c r="K142" i="18" s="1"/>
  <c r="J11" i="4"/>
  <c r="K11" i="4" s="1"/>
  <c r="J10" i="4"/>
  <c r="K10" i="4" s="1"/>
  <c r="J64" i="4"/>
  <c r="K64" i="4" s="1"/>
  <c r="J94" i="4"/>
  <c r="K94" i="4" s="1"/>
  <c r="J140" i="18"/>
  <c r="K140" i="18" s="1"/>
  <c r="J4" i="18"/>
  <c r="K4" i="18" s="1"/>
  <c r="J38" i="18"/>
  <c r="K38" i="18" s="1"/>
  <c r="J41" i="18"/>
  <c r="K41" i="18" s="1"/>
  <c r="J77" i="18"/>
  <c r="K77" i="18" s="1"/>
  <c r="J85" i="18"/>
  <c r="K85" i="18" s="1"/>
  <c r="J96" i="18"/>
  <c r="K96" i="18" s="1"/>
  <c r="J109" i="18"/>
  <c r="K109" i="18" s="1"/>
  <c r="J134" i="18"/>
  <c r="K134" i="18" s="1"/>
  <c r="J5" i="18"/>
  <c r="K5" i="18" s="1"/>
  <c r="J52" i="18"/>
  <c r="K52" i="18" s="1"/>
  <c r="J89" i="18"/>
  <c r="K89" i="18" s="1"/>
  <c r="J98" i="18"/>
  <c r="K98" i="18" s="1"/>
  <c r="J123" i="18"/>
  <c r="K123" i="18" s="1"/>
  <c r="J131" i="18"/>
  <c r="K131" i="18" s="1"/>
  <c r="J141" i="18"/>
  <c r="K141" i="18" s="1"/>
  <c r="J53" i="18"/>
  <c r="K53" i="18" s="1"/>
  <c r="J124" i="18"/>
  <c r="K124" i="18" s="1"/>
  <c r="J138" i="18"/>
  <c r="K138" i="18" s="1"/>
  <c r="J14" i="18"/>
  <c r="K14" i="18" s="1"/>
  <c r="J36" i="18"/>
  <c r="K36" i="18" s="1"/>
  <c r="J46" i="18"/>
  <c r="K46" i="18" s="1"/>
  <c r="J49" i="18"/>
  <c r="K49" i="18" s="1"/>
  <c r="J111" i="18"/>
  <c r="K111" i="18" s="1"/>
  <c r="J114" i="18"/>
  <c r="K114" i="18" s="1"/>
  <c r="J76" i="18"/>
  <c r="K76" i="18" s="1"/>
  <c r="J133" i="18"/>
  <c r="K133" i="18" s="1"/>
  <c r="J72" i="4"/>
  <c r="K72" i="4" s="1"/>
  <c r="J41" i="4"/>
  <c r="K41" i="4" s="1"/>
  <c r="J40" i="4"/>
  <c r="K40" i="4" s="1"/>
  <c r="J73" i="4"/>
  <c r="K73" i="4" s="1"/>
  <c r="J56" i="4"/>
  <c r="K56" i="4" s="1"/>
  <c r="J55" i="4"/>
  <c r="K55" i="4" s="1"/>
  <c r="J34" i="4"/>
  <c r="K34" i="4" s="1"/>
  <c r="J35" i="4"/>
  <c r="K35" i="4" s="1"/>
  <c r="J57" i="4"/>
  <c r="K57" i="4" s="1"/>
  <c r="J58" i="4"/>
  <c r="K58" i="4" s="1"/>
  <c r="J84" i="4"/>
  <c r="K84" i="4" s="1"/>
  <c r="J83" i="4"/>
  <c r="K83" i="4" s="1"/>
  <c r="J60" i="4"/>
  <c r="K60" i="4" s="1"/>
  <c r="J59" i="4"/>
  <c r="K59" i="4" s="1"/>
  <c r="J25" i="4"/>
  <c r="K25" i="4" s="1"/>
  <c r="J26" i="4"/>
  <c r="K26" i="4" s="1"/>
  <c r="J88" i="4"/>
  <c r="K88" i="4" s="1"/>
  <c r="J93" i="4"/>
  <c r="K93" i="4" s="1"/>
  <c r="J15" i="4"/>
  <c r="J68" i="4"/>
  <c r="K68" i="4" s="1"/>
  <c r="J2" i="6"/>
  <c r="K2" i="6" s="1"/>
  <c r="J3" i="6"/>
  <c r="K3" i="6" s="1"/>
  <c r="J4" i="6"/>
  <c r="K4" i="6" s="1"/>
  <c r="J5" i="6"/>
  <c r="K5" i="6" s="1"/>
  <c r="J6" i="6"/>
  <c r="K6" i="6" s="1"/>
  <c r="J7" i="6"/>
  <c r="K7" i="6" s="1"/>
  <c r="J8" i="6"/>
  <c r="J9" i="6"/>
  <c r="K9" i="6" s="1"/>
  <c r="J10" i="6"/>
  <c r="K10" i="6" s="1"/>
  <c r="J12" i="6"/>
  <c r="K12" i="6" s="1"/>
  <c r="J13" i="6"/>
  <c r="K13" i="6" s="1"/>
  <c r="J14" i="6"/>
  <c r="K14" i="6" s="1"/>
  <c r="J15" i="6"/>
  <c r="K15" i="6" s="1"/>
  <c r="J16" i="6"/>
  <c r="K16" i="6" s="1"/>
  <c r="J17" i="6"/>
  <c r="K17" i="6" s="1"/>
  <c r="J18" i="6"/>
  <c r="K18" i="6" s="1"/>
  <c r="J19" i="6"/>
  <c r="K19" i="6" s="1"/>
  <c r="J20" i="6"/>
  <c r="K20" i="6" s="1"/>
  <c r="J21" i="6"/>
  <c r="K21" i="6" s="1"/>
  <c r="J22" i="6"/>
  <c r="K22" i="6" s="1"/>
  <c r="J23" i="6"/>
  <c r="K23" i="6" s="1"/>
  <c r="J24" i="6"/>
  <c r="K24" i="6" s="1"/>
  <c r="J25" i="6"/>
  <c r="K25" i="6" s="1"/>
  <c r="J26" i="6"/>
  <c r="K26" i="6" s="1"/>
  <c r="J27" i="6"/>
  <c r="K27" i="6" s="1"/>
  <c r="J28" i="6"/>
  <c r="K28" i="6" s="1"/>
  <c r="J29" i="6"/>
  <c r="K29" i="6" s="1"/>
  <c r="J30" i="6"/>
  <c r="K30" i="6" s="1"/>
  <c r="J31" i="6"/>
  <c r="K31" i="6" s="1"/>
  <c r="J32" i="6"/>
  <c r="K32" i="6" s="1"/>
  <c r="J33" i="6"/>
  <c r="K33" i="6" s="1"/>
  <c r="J34" i="6"/>
  <c r="K34" i="6" s="1"/>
  <c r="J35" i="6"/>
  <c r="K35" i="6" s="1"/>
  <c r="J49" i="6"/>
  <c r="K49" i="6" s="1"/>
  <c r="J51" i="6"/>
  <c r="K51" i="6" s="1"/>
  <c r="J52" i="6"/>
  <c r="K52" i="6" s="1"/>
  <c r="J53" i="6"/>
  <c r="K53" i="6" s="1"/>
  <c r="J54" i="6"/>
  <c r="K54" i="6" s="1"/>
  <c r="J55" i="6"/>
  <c r="K55" i="6" s="1"/>
  <c r="J56" i="6"/>
  <c r="K56" i="6" s="1"/>
  <c r="J57" i="6"/>
  <c r="K57" i="6" s="1"/>
  <c r="J59" i="6"/>
  <c r="K59" i="6" s="1"/>
  <c r="J60" i="6"/>
  <c r="K60" i="6" s="1"/>
  <c r="D6" i="5"/>
  <c r="D8" i="5" s="1"/>
  <c r="H5" i="5"/>
  <c r="D5" i="5"/>
  <c r="E3" i="5"/>
  <c r="I20" i="4"/>
  <c r="F20" i="4"/>
  <c r="H19" i="4"/>
  <c r="I19" i="4" s="1"/>
  <c r="F19" i="4"/>
  <c r="H67" i="4"/>
  <c r="I67" i="4" s="1"/>
  <c r="F67" i="4"/>
  <c r="I62" i="4"/>
  <c r="F62" i="4"/>
  <c r="I61" i="4"/>
  <c r="F61" i="4"/>
  <c r="I3" i="4"/>
  <c r="F3" i="4"/>
  <c r="I2" i="4"/>
  <c r="F2" i="4"/>
  <c r="I28" i="4"/>
  <c r="F28" i="4"/>
  <c r="I27" i="4"/>
  <c r="F27" i="4"/>
  <c r="I80" i="4"/>
  <c r="F80" i="4"/>
  <c r="I79" i="4"/>
  <c r="F79" i="4"/>
  <c r="I23" i="4"/>
  <c r="F23" i="4"/>
  <c r="I16" i="4"/>
  <c r="F16" i="4"/>
  <c r="I75" i="4"/>
  <c r="F75" i="4"/>
  <c r="I74" i="4"/>
  <c r="F74" i="4"/>
  <c r="I45" i="4"/>
  <c r="F45" i="4"/>
  <c r="I44" i="4"/>
  <c r="F44" i="4"/>
  <c r="H49" i="4"/>
  <c r="I49" i="4" s="1"/>
  <c r="F49" i="4"/>
  <c r="H48" i="4"/>
  <c r="I48" i="4" s="1"/>
  <c r="F48" i="4"/>
  <c r="I39" i="4"/>
  <c r="F39" i="4"/>
  <c r="H38" i="4"/>
  <c r="I38" i="4" s="1"/>
  <c r="F38" i="4"/>
  <c r="I66" i="4"/>
  <c r="F66" i="4"/>
  <c r="H65" i="4"/>
  <c r="I65" i="4" s="1"/>
  <c r="F65" i="4"/>
  <c r="H71" i="4"/>
  <c r="I71" i="4" s="1"/>
  <c r="F71" i="4"/>
  <c r="I63" i="4"/>
  <c r="F63" i="4"/>
  <c r="I53" i="4"/>
  <c r="F53" i="4"/>
  <c r="I52" i="4"/>
  <c r="F52" i="4"/>
  <c r="I51" i="4"/>
  <c r="F51" i="4"/>
  <c r="H50" i="4"/>
  <c r="I50" i="4" s="1"/>
  <c r="F50" i="4"/>
  <c r="I18" i="4"/>
  <c r="F18" i="4"/>
  <c r="H17" i="4"/>
  <c r="I17" i="4" s="1"/>
  <c r="F17" i="4"/>
  <c r="I43" i="4"/>
  <c r="F43" i="4"/>
  <c r="H42" i="4"/>
  <c r="I42" i="4" s="1"/>
  <c r="F42" i="4"/>
  <c r="I37" i="4"/>
  <c r="F37" i="4"/>
  <c r="H36" i="4"/>
  <c r="I36" i="4" s="1"/>
  <c r="F36" i="4"/>
  <c r="I22" i="4"/>
  <c r="F22" i="4"/>
  <c r="I21" i="4"/>
  <c r="F21" i="4"/>
  <c r="I9" i="4"/>
  <c r="F9" i="4"/>
  <c r="H8" i="4"/>
  <c r="I8" i="4" s="1"/>
  <c r="F8" i="4"/>
  <c r="H33" i="4"/>
  <c r="F33" i="4"/>
  <c r="I32" i="4"/>
  <c r="F32" i="4"/>
  <c r="H31" i="4"/>
  <c r="I31" i="4" s="1"/>
  <c r="F31" i="4"/>
  <c r="I13" i="4"/>
  <c r="F13" i="4"/>
  <c r="I12" i="4"/>
  <c r="F12" i="4"/>
  <c r="H76" i="4"/>
  <c r="I76" i="4" s="1"/>
  <c r="F76" i="4"/>
  <c r="I81" i="4"/>
  <c r="F81" i="4"/>
  <c r="I86" i="4"/>
  <c r="F86" i="4"/>
  <c r="H85" i="4"/>
  <c r="I85" i="4" s="1"/>
  <c r="F85" i="4"/>
  <c r="M178" i="3"/>
  <c r="M188" i="3" s="1"/>
  <c r="D125" i="2"/>
  <c r="C125" i="2"/>
  <c r="G123" i="1"/>
  <c r="F123" i="1"/>
  <c r="I123" i="1" s="1"/>
  <c r="G101" i="1"/>
  <c r="F101" i="1"/>
  <c r="G68" i="1"/>
  <c r="F68" i="1"/>
  <c r="G14" i="1"/>
  <c r="F14" i="1"/>
  <c r="D125" i="1"/>
  <c r="C125" i="1"/>
  <c r="E125" i="1" l="1"/>
  <c r="I125" i="1" s="1"/>
  <c r="H14" i="1"/>
  <c r="H68" i="1"/>
  <c r="I68" i="1" s="1"/>
  <c r="H101" i="1"/>
  <c r="I101" i="1" s="1"/>
  <c r="J62" i="4"/>
  <c r="K62" i="4" s="1"/>
  <c r="J67" i="4"/>
  <c r="K67" i="4" s="1"/>
  <c r="J53" i="4"/>
  <c r="K53" i="4" s="1"/>
  <c r="J28" i="4"/>
  <c r="K28" i="4" s="1"/>
  <c r="J85" i="4"/>
  <c r="K85" i="4" s="1"/>
  <c r="J79" i="4"/>
  <c r="K79" i="4" s="1"/>
  <c r="J86" i="4"/>
  <c r="K86" i="4" s="1"/>
  <c r="J81" i="4"/>
  <c r="K81" i="4" s="1"/>
  <c r="J13" i="4"/>
  <c r="J52" i="4"/>
  <c r="K52" i="4" s="1"/>
  <c r="J65" i="4"/>
  <c r="K65" i="4" s="1"/>
  <c r="J48" i="4"/>
  <c r="K48" i="4" s="1"/>
  <c r="J66" i="4"/>
  <c r="K66" i="4" s="1"/>
  <c r="J19" i="4"/>
  <c r="K19" i="4" s="1"/>
  <c r="J76" i="4"/>
  <c r="K76" i="4" s="1"/>
  <c r="J32" i="4"/>
  <c r="K32" i="4" s="1"/>
  <c r="J42" i="4"/>
  <c r="K42" i="4" s="1"/>
  <c r="J50" i="4"/>
  <c r="K50" i="4" s="1"/>
  <c r="J44" i="4"/>
  <c r="K44" i="4" s="1"/>
  <c r="J22" i="4"/>
  <c r="K22" i="4" s="1"/>
  <c r="J37" i="4"/>
  <c r="K37" i="4" s="1"/>
  <c r="J12" i="4"/>
  <c r="K12" i="4" s="1"/>
  <c r="J63" i="4"/>
  <c r="K63" i="4" s="1"/>
  <c r="J2" i="4"/>
  <c r="K2" i="4" s="1"/>
  <c r="J71" i="4"/>
  <c r="K71" i="4" s="1"/>
  <c r="J36" i="4"/>
  <c r="K36" i="4" s="1"/>
  <c r="J17" i="4"/>
  <c r="K17" i="4" s="1"/>
  <c r="J45" i="4"/>
  <c r="K45" i="4" s="1"/>
  <c r="J31" i="4"/>
  <c r="K31" i="4" s="1"/>
  <c r="J9" i="4"/>
  <c r="K9" i="4" s="1"/>
  <c r="J8" i="4"/>
  <c r="K8" i="4" s="1"/>
  <c r="J80" i="4"/>
  <c r="K80" i="4" s="1"/>
  <c r="J20" i="4"/>
  <c r="K20" i="4" s="1"/>
  <c r="J43" i="4"/>
  <c r="K43" i="4" s="1"/>
  <c r="J51" i="4"/>
  <c r="K51" i="4" s="1"/>
  <c r="J38" i="4"/>
  <c r="K38" i="4" s="1"/>
  <c r="J39" i="4"/>
  <c r="K39" i="4" s="1"/>
  <c r="J61" i="4"/>
  <c r="K61" i="4" s="1"/>
  <c r="J49" i="4"/>
  <c r="K49" i="4" s="1"/>
  <c r="J3" i="4"/>
  <c r="K3" i="4" s="1"/>
  <c r="J21" i="4"/>
  <c r="K21" i="4" s="1"/>
  <c r="J27" i="4"/>
  <c r="K27" i="4" s="1"/>
  <c r="J18" i="4"/>
  <c r="K18" i="4" s="1"/>
  <c r="D7" i="5"/>
  <c r="E125" i="2"/>
  <c r="I14" i="1" l="1"/>
  <c r="H125" i="1"/>
</calcChain>
</file>

<file path=xl/sharedStrings.xml><?xml version="1.0" encoding="utf-8"?>
<sst xmlns="http://schemas.openxmlformats.org/spreadsheetml/2006/main" count="6006" uniqueCount="1932">
  <si>
    <t>SnO</t>
  </si>
  <si>
    <t>NAME</t>
  </si>
  <si>
    <t>Current price</t>
  </si>
  <si>
    <t>Current PE</t>
  </si>
  <si>
    <t>Current PAT</t>
  </si>
  <si>
    <t>Current MCAP</t>
  </si>
  <si>
    <t>1Yr forward PAT</t>
  </si>
  <si>
    <t>Final P/E lower</t>
  </si>
  <si>
    <t>Final MCAP Lower</t>
  </si>
  <si>
    <t>upside%</t>
  </si>
  <si>
    <t>Price after 1 Yr</t>
  </si>
  <si>
    <t>BOUGH</t>
  </si>
  <si>
    <t>UPDATES</t>
  </si>
  <si>
    <t>ULTRATECH CEMENT</t>
  </si>
  <si>
    <t>Uptrend</t>
  </si>
  <si>
    <t>BUY AT DIP</t>
  </si>
  <si>
    <t>TATA POWER</t>
  </si>
  <si>
    <t>RELAINCE INDUSTRIES</t>
  </si>
  <si>
    <t>BLUE DART EXPRESS</t>
  </si>
  <si>
    <t>HCL</t>
  </si>
  <si>
    <t xml:space="preserve">HDFC LIFE </t>
  </si>
  <si>
    <t>?</t>
  </si>
  <si>
    <t>BAJAJ FIN</t>
  </si>
  <si>
    <t>EICHER</t>
  </si>
  <si>
    <t>ICICI</t>
  </si>
  <si>
    <t>L&amp;T</t>
  </si>
  <si>
    <t>DR REDDY</t>
  </si>
  <si>
    <t>Muthoot FINANCE</t>
  </si>
  <si>
    <t>MUTHOOT MICROFIN</t>
  </si>
  <si>
    <t>PIDILITE INDUSTR</t>
  </si>
  <si>
    <t>Power grid Corporation</t>
  </si>
  <si>
    <t>POLYCAB INDIA</t>
  </si>
  <si>
    <t>IDFC FIRST BANK</t>
  </si>
  <si>
    <t xml:space="preserve">Mahindra </t>
  </si>
  <si>
    <t>L&amp;T FIN</t>
  </si>
  <si>
    <t>BUY</t>
  </si>
  <si>
    <t>Yearly 6% rev was up in 2024 BUT YoY FY25Q1 17% REV up this time with 18% PAT/ 15K Rev expected / 2690 Pat</t>
  </si>
  <si>
    <t>Oberoi Realty</t>
  </si>
  <si>
    <t>Eicher Motors</t>
  </si>
  <si>
    <t>REC</t>
  </si>
  <si>
    <t>Deepak Nitrite (5 Stars)</t>
  </si>
  <si>
    <t>Deepak Nitrite</t>
  </si>
  <si>
    <t>Senco Gold</t>
  </si>
  <si>
    <t>Electronics Mart India</t>
  </si>
  <si>
    <t>Tube Investments of India Ltd</t>
  </si>
  <si>
    <t>PI Industries(5 Star)</t>
  </si>
  <si>
    <t>Star Health</t>
  </si>
  <si>
    <t>Conservative</t>
  </si>
  <si>
    <t>If P/E Re rated OR IND P/E</t>
  </si>
  <si>
    <t>Five Star</t>
  </si>
  <si>
    <t>physical meeting with Nippon Life Insurance on June 27, 2024,</t>
  </si>
  <si>
    <t>MORE BUY at a DIP</t>
  </si>
  <si>
    <t xml:space="preserve">meeting with Aditya Birla Money on June 25, 2024 meetings as follows: 1. Tiger Pacific Capital on June 18, 2024 - Virtual (1*1) meeting 2. Bellwether Capital on June 19, 2024 - Physical
</t>
  </si>
  <si>
    <t>Avalon</t>
  </si>
  <si>
    <t>PGEL</t>
  </si>
  <si>
    <t xml:space="preserve"> PE ratio of 75.51x.</t>
  </si>
  <si>
    <t>Poonawalla fin</t>
  </si>
  <si>
    <t>ECLERX</t>
  </si>
  <si>
    <t>HOLD</t>
  </si>
  <si>
    <t>BOUGHT</t>
  </si>
  <si>
    <t>Anant Raj Ltd</t>
  </si>
  <si>
    <t>537</t>
  </si>
  <si>
    <t>68.96</t>
  </si>
  <si>
    <t>307</t>
  </si>
  <si>
    <t>FY25 Rev 2224(50%)/PAT 444(20%)</t>
  </si>
  <si>
    <t>Accent Microcell</t>
  </si>
  <si>
    <t>Addictive Learning Technology lot size LAWSIKHO</t>
  </si>
  <si>
    <t>Addictive Learning Technology</t>
  </si>
  <si>
    <t>ADORWELD</t>
  </si>
  <si>
    <t>FY25 Rev 998(13%)/PAT 70(7%)</t>
  </si>
  <si>
    <t>Antony</t>
  </si>
  <si>
    <t>BUY at DIP</t>
  </si>
  <si>
    <t>will be Q1 246 / 27 CR PAT</t>
  </si>
  <si>
    <t>Atam</t>
  </si>
  <si>
    <t>SELL</t>
  </si>
  <si>
    <t>Company has an order book of INR 25 Cr and the guidance for FY25 Revenue target is INR 70-75 Cr.</t>
  </si>
  <si>
    <t>Dropped Netrpoft last in FY2024</t>
  </si>
  <si>
    <t>25Q1-Result July15</t>
  </si>
  <si>
    <t>planned CAPEX of 30 Cr, expecting significant revenue contribution in FY ’25-’26. /.   Promoter.   +2.5%</t>
  </si>
  <si>
    <t>AVP</t>
  </si>
  <si>
    <r>
      <t xml:space="preserve">Company expecting anything more than 50% increase in turnover for FY25. //We are expecting anything more than </t>
    </r>
    <r>
      <rPr>
        <b/>
        <sz val="11"/>
        <color rgb="FFC00000"/>
        <rFont val="Arial"/>
        <family val="2"/>
      </rPr>
      <t>50% increase in our turnover</t>
    </r>
    <r>
      <rPr>
        <sz val="11"/>
        <color theme="1"/>
        <rFont val="Arial"/>
        <family val="2"/>
      </rPr>
      <t xml:space="preserve">, which will be a </t>
    </r>
    <r>
      <rPr>
        <b/>
        <sz val="11"/>
        <color rgb="FFC00000"/>
        <rFont val="Arial"/>
        <family val="2"/>
      </rPr>
      <t>very conservative number</t>
    </r>
    <r>
      <rPr>
        <sz val="11"/>
        <color theme="1"/>
        <rFont val="Arial"/>
        <family val="2"/>
      </rPr>
      <t xml:space="preserve"> and which will be a very profitable number too. ///This financial year, we are expecting an order book of what we have, I mean, a fresh order book of INR400 to INR500 crores are anticipated this year. all these orders what I am talking about may range from </t>
    </r>
    <r>
      <rPr>
        <b/>
        <sz val="11"/>
        <color rgb="FFC00000"/>
        <rFont val="Arial"/>
        <family val="2"/>
      </rPr>
      <t>18 to 24 months</t>
    </r>
    <r>
      <rPr>
        <sz val="11"/>
        <color theme="1"/>
        <rFont val="Arial"/>
        <family val="2"/>
      </rPr>
      <t>.//And you currently have INR250 crores worth of orders already in hand</t>
    </r>
  </si>
  <si>
    <t>buy</t>
  </si>
  <si>
    <t>My Projection FY25 Rev 250(65%)/PAT 30(12%)</t>
  </si>
  <si>
    <t>BCLIND</t>
  </si>
  <si>
    <t>2129.00 + 15% you growth FY25 =2400 cr  + 200cr =2600 cr 5% PAT</t>
  </si>
  <si>
    <t>Company aims to gradually exit the edible oil business during FY 2024-25. 5. Company expects an improvement in EBITDA margins with stabilized maize prices and increased production. 6. Biodiesel plant capex is around INR 160 crores, with funding from banks and internal sources. 7. Biodiesel plant revenue is expected to reach around INR 200 crores when fully operational.PROMOTER INCREASED BY 2.5% in JUNE</t>
  </si>
  <si>
    <t>Ceinsys Tech Ltd</t>
  </si>
  <si>
    <t>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</si>
  <si>
    <r>
      <t>FY25 Rev 290(15%)/PAT 41(14%).    ///  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Arial"/>
        <family val="2"/>
      </rPr>
      <t xml:space="preserve">cquisition of Ally Grow </t>
    </r>
    <r>
      <rPr>
        <sz val="11"/>
        <color theme="1"/>
        <rFont val="Arial"/>
        <family val="2"/>
      </rPr>
      <t xml:space="preserve">Technologies facilitates entry into the mobility services sector,capitalizing on the convergence of GIS and autonomous driving technologies </t>
    </r>
  </si>
  <si>
    <t xml:space="preserve">Concord Control Systems Ltd - CNCRD </t>
  </si>
  <si>
    <t>1234</t>
  </si>
  <si>
    <t>56.6</t>
  </si>
  <si>
    <t>FY25 Rev 90(13%)/PAT 18(20%)</t>
  </si>
  <si>
    <t>Concord Control Systems Ltd</t>
  </si>
  <si>
    <t>Datapatern</t>
  </si>
  <si>
    <t>My Projection FY25 Rev 603(15%)/PAT 211(35%)</t>
  </si>
  <si>
    <t>DEE Development Engineers</t>
  </si>
  <si>
    <t xml:space="preserve"> </t>
  </si>
  <si>
    <t xml:space="preserve">NO earring DATA for 2024 </t>
  </si>
  <si>
    <t>DCX Systems Ltd</t>
  </si>
  <si>
    <t xml:space="preserve"> at dip</t>
  </si>
  <si>
    <t>Downtrend</t>
  </si>
  <si>
    <t>emcure pharma</t>
  </si>
  <si>
    <t>Emerald Finance</t>
  </si>
  <si>
    <t>VERY COSTLY</t>
  </si>
  <si>
    <t>EMS</t>
  </si>
  <si>
    <t>BUY PE 22/23</t>
  </si>
  <si>
    <t>Ethos</t>
  </si>
  <si>
    <t>SELL 3800</t>
  </si>
  <si>
    <t>Esab India Ltd</t>
  </si>
  <si>
    <t>FY25 Rev 1417(14%)/PAT 184(13%)</t>
  </si>
  <si>
    <t>Garware Hi Tech</t>
  </si>
  <si>
    <t>SELL 2600</t>
  </si>
  <si>
    <t>guidance of Rs. 2,500 crore by FY26</t>
  </si>
  <si>
    <t>FY25 Sales 2000(19.26%)/PAT 240CR(12%)
FY26 Sales 2420(21%)/PAT 290CR(12%)</t>
  </si>
  <si>
    <t>PNGS Gargi Fashion</t>
  </si>
  <si>
    <t>My Projection FY25 Rev 75(75%)/PAT 15(17%)</t>
  </si>
  <si>
    <t>Gem enviro</t>
  </si>
  <si>
    <t>Godawari Power &amp; Ispat </t>
  </si>
  <si>
    <r>
      <rPr>
        <b/>
        <sz val="11"/>
        <color rgb="FFC00000"/>
        <rFont val="Arial"/>
        <family val="2"/>
      </rPr>
      <t xml:space="preserve">My Projection FY25 Rev 6110(12%)/PAT 1161(19%)   </t>
    </r>
    <r>
      <rPr>
        <b/>
        <sz val="11"/>
        <color theme="1"/>
        <rFont val="Arial"/>
        <family val="2"/>
      </rPr>
      <t xml:space="preserve">  COMMENCE OPERATIONS OF A NEW STEEL PLANT FROM FY25 //new steel plant, the Company will join the league of primary steel producer although we are currently a secondary steel producer.  /</t>
    </r>
    <r>
      <rPr>
        <b/>
        <sz val="11"/>
        <color rgb="FFC00000"/>
        <rFont val="Arial"/>
        <family val="2"/>
      </rPr>
      <t>////For Q1, the market has definitely gone up</t>
    </r>
    <r>
      <rPr>
        <b/>
        <sz val="11"/>
        <color theme="1"/>
        <rFont val="Arial"/>
        <family val="2"/>
      </rPr>
      <t xml:space="preserve"> because there has been a certain demand for finished steel post Holi and people are quite bullish going forward. So, </t>
    </r>
    <r>
      <rPr>
        <b/>
        <sz val="11"/>
        <color rgb="FFC00000"/>
        <rFont val="Arial"/>
        <family val="2"/>
      </rPr>
      <t>prices are almost 10% up</t>
    </r>
    <r>
      <rPr>
        <b/>
        <sz val="11"/>
        <color theme="1"/>
        <rFont val="Arial"/>
        <family val="2"/>
      </rPr>
      <t xml:space="preserve">  compared to Q4 versus Q1 of FY25 across the chain. Be it iron ore pellet, be it DRI, be it billets, or be it finished steel. So, prices are almost 10% up across the chain post Holi, which is so Q4 versus Q1, </t>
    </r>
    <r>
      <rPr>
        <b/>
        <sz val="11"/>
        <color rgb="FFC00000"/>
        <rFont val="Arial"/>
        <family val="2"/>
      </rPr>
      <t xml:space="preserve">you can expect 10% higher price variation. </t>
    </r>
  </si>
  <si>
    <r>
      <t>we have taken a shutdown for modification of the furnaces for better efficiency that
work is already over, so</t>
    </r>
    <r>
      <rPr>
        <b/>
        <sz val="11"/>
        <color rgb="FFC00000"/>
        <rFont val="Arial"/>
        <family val="2"/>
      </rPr>
      <t xml:space="preserve"> you can see the volume growth in Hira Ferro Alloy from Q1 FY25. </t>
    </r>
    <r>
      <rPr>
        <b/>
        <sz val="11"/>
        <color theme="1"/>
        <rFont val="Arial"/>
        <family val="2"/>
      </rPr>
      <t xml:space="preserve">                                                             ////    e topline growth and PAT margin for FY25   I think FY25, we have</t>
    </r>
    <r>
      <rPr>
        <b/>
        <sz val="11"/>
        <color rgb="FFC00000"/>
        <rFont val="Arial"/>
        <family val="2"/>
      </rPr>
      <t xml:space="preserve"> already reached our maximum capacity</t>
    </r>
    <r>
      <rPr>
        <b/>
        <sz val="11"/>
        <color theme="1"/>
        <rFont val="Arial"/>
        <family val="2"/>
      </rPr>
      <t xml:space="preserve"> for all the operations. So,
we </t>
    </r>
    <r>
      <rPr>
        <b/>
        <sz val="11"/>
        <color rgb="FFC00000"/>
        <rFont val="Arial"/>
        <family val="2"/>
      </rPr>
      <t>don't see additional revenue being generated b</t>
    </r>
    <r>
      <rPr>
        <b/>
        <sz val="11"/>
        <color theme="1"/>
        <rFont val="Arial"/>
        <family val="2"/>
      </rPr>
      <t xml:space="preserve">ecause of additional capacity or additional
CAPEX. Whatever </t>
    </r>
    <r>
      <rPr>
        <b/>
        <sz val="11"/>
        <color rgb="FFC00000"/>
        <rFont val="Arial"/>
        <family val="2"/>
      </rPr>
      <t xml:space="preserve">additional revenue </t>
    </r>
    <r>
      <rPr>
        <b/>
        <sz val="11"/>
        <color theme="1"/>
        <rFont val="Arial"/>
        <family val="2"/>
      </rPr>
      <t xml:space="preserve">is going to come in on the topline </t>
    </r>
    <r>
      <rPr>
        <b/>
        <sz val="11"/>
        <color rgb="FFC00000"/>
        <rFont val="Arial"/>
        <family val="2"/>
      </rPr>
      <t>will happen in FY26</t>
    </r>
    <r>
      <rPr>
        <b/>
        <sz val="11"/>
        <color theme="1"/>
        <rFont val="Arial"/>
        <family val="2"/>
      </rPr>
      <t xml:space="preserve">
once our new pellet plant comes into production. </t>
    </r>
  </si>
  <si>
    <t>To more than double thecapacities of iron ore mining,
pellets and integrated steelplant to 6.7Mnt; 5.7MnT &amp;
2.5MnT respectively.Company with Zero Net Debt and Net Cash of Rs. 1,056 Cr</t>
  </si>
  <si>
    <t>FY25
Iron Ore Mining 3.0 MnT   Iron Ore Pellets 2.44 MnT   Sponge Iron .594 MnT   Steel Billets .50 MnT  Ferro Alloys .08 MnT
Rolled Products .325 MnT.   Debottlenecking Capex for Rolling Mill Modification  at Urla to be completed by Q1FY25. Slight delay is because of delay in supply of equipment's’ by   vendors. Trial production already started.   o The cost overrun is due to modernisation &amp;   automation of Rolling Mill.</t>
  </si>
  <si>
    <t>Good luck</t>
  </si>
  <si>
    <r>
      <rPr>
        <b/>
        <sz val="11"/>
        <color rgb="FF7030A0"/>
        <rFont val="Arial"/>
        <family val="2"/>
      </rPr>
      <t xml:space="preserve">My Projection FY25 Rev 4054(15%)/PAT 203(5%)  </t>
    </r>
    <r>
      <rPr>
        <b/>
        <sz val="11"/>
        <color rgb="FF000000"/>
        <rFont val="Arial"/>
        <family val="2"/>
      </rPr>
      <t xml:space="preserve">   Expansion: up a plant for producing hydraulic tubes that will </t>
    </r>
    <r>
      <rPr>
        <b/>
        <u/>
        <sz val="11"/>
        <color rgb="FF000000"/>
        <rFont val="Arial"/>
        <family val="2"/>
      </rPr>
      <t>be commissioned by July 2024.</t>
    </r>
    <r>
      <rPr>
        <b/>
        <sz val="11"/>
        <color rgb="FF000000"/>
        <rFont val="Arial"/>
        <family val="2"/>
      </rPr>
      <t xml:space="preserve"> Post-commissioning the total capacity will be 480,000 MTPA.</t>
    </r>
  </si>
  <si>
    <t>a 15% to 20% guidance year-on-year
vision we have given and that I don't think any problem, any issue right now</t>
  </si>
  <si>
    <t>ICE make</t>
  </si>
  <si>
    <t>SELL900</t>
  </si>
  <si>
    <t>Ice Make aims to achieve Rs. 500 crores in revenue in the current fiscal year and continues to expand its product portfolio to meet market demand.</t>
  </si>
  <si>
    <r>
      <rPr>
        <sz val="11"/>
        <color rgb="FF000000"/>
        <rFont val="Arial"/>
        <family val="2"/>
      </rPr>
      <t xml:space="preserve">We will continue to focus on expanding our product portfolio and enhancing our market presence as we aim to achieve Rs. 500 crores revenue milestone in current fiscal year 2025.The product line which we are going to do is a new product like Chest Freezer or Visi Cooler, so that product is not in our product portfolio,so it will be our additional revenue. Besides current businessthisis our new business,so it will be added to the revenue That production line can increase the topline by Rs. 100 crores to Rs. 145 crores.October or November. At least third quarter it will be operative.. One is Continuous PUF Panel which we think </t>
    </r>
    <r>
      <rPr>
        <b/>
        <sz val="11"/>
        <color rgb="FFFF0000"/>
        <rFont val="Arial"/>
        <family val="2"/>
      </rPr>
      <t>we can start manufacturing in October or November and ot</t>
    </r>
    <r>
      <rPr>
        <b/>
        <sz val="11"/>
        <color rgb="FF000000"/>
        <rFont val="Arial"/>
        <family val="2"/>
      </rPr>
      <t>h</t>
    </r>
    <r>
      <rPr>
        <sz val="11"/>
        <color rgb="FF000000"/>
        <rFont val="Arial"/>
        <family val="2"/>
      </rPr>
      <t>er is Commercial Refrigeration which we told in last AGM also that we will start Commercial Refrigeration work. Its machinery has already being ordered, advance has been done, technical approval has been given and I think we will do its manufacturing in November and December. So may be in last quarter of this current year we may get support from this Commercial product in our topline. after next 2 years, it can give a value of Rs. 125 crores extra to the topline.</t>
    </r>
  </si>
  <si>
    <t>Ideaforge Technology</t>
  </si>
  <si>
    <r>
      <rPr>
        <b/>
        <sz val="11"/>
        <color rgb="FFFF0000"/>
        <rFont val="Arial"/>
        <family val="2"/>
      </rPr>
      <t xml:space="preserve">My Projection FY25 Rev 500(60%)/PAT 81(15%) // </t>
    </r>
    <r>
      <rPr>
        <b/>
        <sz val="11"/>
        <color theme="1"/>
        <rFont val="Arial"/>
        <family val="2"/>
      </rPr>
      <t xml:space="preserve">  Achieved AS9100:D and ISO 27001:2022 certifications ● Launch of FLYGHT CLOUD Beta ● Long-duration paid PoCs with enterprise customers for Drone as a Service (DaaS) ● 5 new patents granted in Q1 FY25 ● Successful EAPs and demos in the US with potential for orders ● Strategic investments to build exclusive capability in surveillance (GalaxEye) and accelerate DaaS expansion&amp;  middle-mile logistics development (TechEagle) //Partnership with Skylark Labs (US) for border management solution./Beta launch of FLYGHT CLOUD platform for civilspecific use cases. //Completion of the EAP
program with key homeland security customers in the US likely to convert into orders</t>
    </r>
  </si>
  <si>
    <t>Ideaforge Technology </t>
  </si>
  <si>
    <t>Our order book as of 31st March stood at approximately INR125 crores and we are closely monitoring an L1 pipeline of INR300 plus crores with expected progress in the coming quarters and more is expected to be added to this L1 pipeline very soon.</t>
  </si>
  <si>
    <t>Infollion</t>
  </si>
  <si>
    <t>Indotech</t>
  </si>
  <si>
    <t>SELL SOME PART</t>
  </si>
  <si>
    <t>INGERRAND</t>
  </si>
  <si>
    <t>FY25 Rev 1286(5%)/PAT 231(18%)</t>
  </si>
  <si>
    <t>manufacturing and selling industrial air compressors and offers related services such as installation, commissioning and maintenance</t>
  </si>
  <si>
    <t>Jaibalaji</t>
  </si>
  <si>
    <t>HOLD and BUY MORE</t>
  </si>
  <si>
    <r>
      <t xml:space="preserve">30% of the revenues come from DI pipes and is expected to grow to 45%-50% by FY25-26 ///“JAL JEEVAN MISSION” and “MISSION AMRUT SAROVAR” infrastructure development plan has led to increased requirement of DI Pipes and Jai Balaji is contributing to the same  DI Pipes Industry is expected to grow at 13%-15% CAGR in near future. It is used for water transportation and drainage system //Co. has around 10% of the DI pipes market of India and aims to reach 15%-20% of Market Share, post capacity expansion.  //Co. has </t>
    </r>
    <r>
      <rPr>
        <b/>
        <sz val="11"/>
        <color rgb="FFC00000"/>
        <rFont val="Arial"/>
        <family val="2"/>
      </rPr>
      <t>Long Term</t>
    </r>
    <r>
      <rPr>
        <b/>
        <sz val="11"/>
        <color theme="1"/>
        <rFont val="Arial"/>
        <family val="2"/>
      </rPr>
      <t xml:space="preserve"> Contracts with Indian as well as International Clients. //</t>
    </r>
    <r>
      <rPr>
        <b/>
        <sz val="11"/>
        <color rgb="FFC00000"/>
        <rFont val="Arial"/>
        <family val="2"/>
      </rPr>
      <t>25%-30% Revenue Growth //17%-18% EBITDA Margin</t>
    </r>
    <r>
      <rPr>
        <b/>
        <sz val="11"/>
        <color theme="1"/>
        <rFont val="Arial"/>
        <family val="2"/>
      </rPr>
      <t xml:space="preserve"> //Rs. 3,000-3,500 Mn CAPEX.  /////Focus on DI Pipes,Specialized Ferro Alloys and Value-added Products
C</t>
    </r>
    <r>
      <rPr>
        <b/>
        <sz val="11"/>
        <color rgb="FFC00000"/>
        <rFont val="Arial"/>
        <family val="2"/>
      </rPr>
      <t>apacity commissioning by FY25 - - DI Pipes capacity expected to grow by 175% to 6.6L TPA  - Ferro Alloys capacity is expected grow by 46% to 1.9L TPA</t>
    </r>
  </si>
  <si>
    <t>My Projection FY25 Rev 7568(18%)/PAT 983(13%) OR My Projection FY25 Rev 8018(25%)/PAT 1200(15%)</t>
  </si>
  <si>
    <t>Kilburn</t>
  </si>
  <si>
    <t>Dryers &amp; Coolers, Adsorption System, Oil &amp; Gas industry packages, Fabricated 
Equipment, Heat Transfer Systems among others.
 Their applications range from drying and processing of materials, such as PVC, 
Carbon Black, Soda Ash, Sodium Cyanide, Rubber, Heavy Chemicals, Sewage, to 
Sugar, among others.[1] KEL continued to be the market leader in the manufacture 
of tea dryers in the industry.</t>
  </si>
  <si>
    <t>Customize Product as no competition  with CHINA.
 Feb 21, 2024 Kilburn Engineering acquires M E Energy to strengthen thermal 
portfolio/ Kilburn Engineering Ltd (KEL) has acquired M E Energy Private Ltd, a 
prominent player in waste heat recovery and reutilization systems, for Rs 98.70 
crore. This strategic move aims to establish KEL as a comprehensive solution 
provider in the thermal engineering sector</t>
  </si>
  <si>
    <t>KrishCA</t>
  </si>
  <si>
    <t>Domestic sales remained strong at INR88.52 crores, while export sales contributed INR16.50 in 2024./ in till june 13 INR28 crores out of which around INR20 crores is from Vedanta only.</t>
  </si>
  <si>
    <r>
      <rPr>
        <b/>
        <sz val="11"/>
        <color rgb="FF000000"/>
        <rFont val="Calibri"/>
        <family val="2"/>
        <scheme val="minor"/>
      </rPr>
      <t xml:space="preserve">Going forward, we aim to increase our packaging contract revenue to more than </t>
    </r>
    <r>
      <rPr>
        <b/>
        <sz val="11"/>
        <color rgb="FFC00000"/>
        <rFont val="Calibri"/>
        <family val="2"/>
        <scheme val="minor"/>
      </rPr>
      <t>50 percentage</t>
    </r>
    <r>
      <rPr>
        <b/>
        <sz val="11"/>
        <color rgb="FF000000"/>
        <rFont val="Calibri"/>
        <family val="2"/>
        <scheme val="minor"/>
      </rPr>
      <t xml:space="preserve"> in coming years./ Our goal is to capture a 30 to 40 percentage of market share in the steel strapping industry,
with packing contracts expected to contribute more than 50% of our revenue in the future.// we just started this packing contract division</t>
    </r>
  </si>
  <si>
    <t>Krishna Defence &amp; Allied Industries Ltd</t>
  </si>
  <si>
    <t>Company has secured an order worth INR 8.3 Cr from Cochin Shipyard Limited (CSL) for the supply of special steel products to be used for Ship-building./grow at +40% CAGR for the next 3 to 5 years. 2. Company targeting a revenue growth of INR 180 to INR 200 Cr in FY25 and INR 500 Cr by FY28.</t>
  </si>
  <si>
    <t>Company has manufacturing unit in Gujarat and a new facility in Bengaluru, expecting to be operational by October. 5. Company Order book stands at INR 230 Cr with an anticipation of securing additional orders. 6. Company is doing a Capex of INR 15-20 Cr for a new facility to manufacture weld consumables and bulb bars. 7. Company anticipated revenue from new products to be INR 50-100 Cr.</t>
  </si>
  <si>
    <t>Maininfra</t>
  </si>
  <si>
    <t>OTHER INCOME +</t>
  </si>
  <si>
    <t>SOLD</t>
  </si>
  <si>
    <t>Murudcera</t>
  </si>
  <si>
    <t>DOWTREND IN REV ONLY</t>
  </si>
  <si>
    <t>ORIANA</t>
  </si>
  <si>
    <t>Panorama Studios International</t>
  </si>
  <si>
    <t>PARACABLE</t>
  </si>
  <si>
    <t>BUY BUY</t>
  </si>
  <si>
    <t>Pokarna</t>
  </si>
  <si>
    <t>Polyplex</t>
  </si>
  <si>
    <t>PRAJ Ind</t>
  </si>
  <si>
    <t xml:space="preserve">Q1Fy25 not good </t>
  </si>
  <si>
    <t>The report details the company's practices concerning energy consumption, water management, waste generation, air emissions, greenhouse gas emissions, compliance with environmental laws, employee training on human rights, involvement in trade associations, and corrective actions taken, where applicable. Praj Industries emphasized safety, sustainable sourcing, well-being of employees, waste management practices, and compliance with environmental regulations in its operations, illustrating a commitment to responsible and transparent business practices.</t>
  </si>
  <si>
    <t>Praveg</t>
  </si>
  <si>
    <t>Punjab chemical</t>
  </si>
  <si>
    <t>NEED TO CHECK</t>
  </si>
  <si>
    <t>Pyramid</t>
  </si>
  <si>
    <t>QMS</t>
  </si>
  <si>
    <t>BUY@110</t>
  </si>
  <si>
    <r>
      <rPr>
        <b/>
        <sz val="11"/>
        <color rgb="FF7030A0"/>
        <rFont val="Arial"/>
        <family val="2"/>
      </rPr>
      <t xml:space="preserve">My Projection FY25 Rev 270(?%)/PAT 21.6(8%)	</t>
    </r>
    <r>
      <rPr>
        <sz val="11"/>
        <color theme="1"/>
        <rFont val="Arial"/>
        <family val="2"/>
      </rPr>
      <t xml:space="preserve">Q Devices ./2 Camps/ Patient Service Programs. / 3 Medical Equipment Trading /. 4 Continuous Medical Education /	Kapil Dev is brand ambassador. 
</t>
    </r>
  </si>
  <si>
    <r>
      <t xml:space="preserve">In FY 25 - 150 cr revenue from existing QMS business. 20 cr additional from saarthi. New business segment of hospitals can generate 100 cr revenues. </t>
    </r>
    <r>
      <rPr>
        <b/>
        <sz val="11"/>
        <color rgb="FF7030A0"/>
        <rFont val="Arial"/>
        <family val="2"/>
      </rPr>
      <t>Total target for FY 25 is 270 cr with saarthi and hospitals</t>
    </r>
    <r>
      <rPr>
        <sz val="11"/>
        <color theme="1"/>
        <rFont val="Arial"/>
        <family val="2"/>
      </rPr>
      <t>. ●  EBITDA margins would be 15-17% .#QMS FY2024 - Revenue 122 Cr /.                       FY2025  - Revenue 270 EBITDA margins would be 15-17% ,FY24 EBITA 15.34%/ PAT was 7.34%</t>
    </r>
  </si>
  <si>
    <t xml:space="preserve">R S Software </t>
  </si>
  <si>
    <t>BUY @200</t>
  </si>
  <si>
    <t xml:space="preserve">Q1 Result OPM improved 36% /REV 18.75 is up 70% /Profit 3 times </t>
  </si>
  <si>
    <t>RavindraEnergy</t>
  </si>
  <si>
    <t>Rate gain</t>
  </si>
  <si>
    <t>R K Swamy Ltd</t>
  </si>
  <si>
    <t>FY25 Rev 378(14%)/PAT 45(12%)</t>
  </si>
  <si>
    <t>1</t>
  </si>
  <si>
    <t>RSWM Ltd</t>
  </si>
  <si>
    <t>251</t>
  </si>
  <si>
    <t>projected growth rate of over 7% in FY25  // FY25 Rev 4343(3.5%)/PAT 152(7%)</t>
  </si>
  <si>
    <t>2</t>
  </si>
  <si>
    <t>Volume growth will be around 850-900 metric tonnes</t>
  </si>
  <si>
    <t>Rico Auto Industries Ltd</t>
  </si>
  <si>
    <t>programs start from quarter 2 onwards. In quarter 1 also, there is an improvement
in Maruti our supplies to Maruti and to Hero also and to also another customer we've added is
Suzuki two-wheelers. So our sales have already started there. And so there's a lot of traction
that's taking place. But from June onwards, you will see a big jump that would actually happen.
So most of the investments we have done last year and those we will start using from June
onwards. And our internal EBITDA margin is plus 12%, but here we'll like to come in at 11.5%</t>
  </si>
  <si>
    <t>g 11.5% for the whole year you're expecting, EBITDA margins</t>
  </si>
  <si>
    <t>Sarthak metal</t>
  </si>
  <si>
    <r>
      <rPr>
        <b/>
        <sz val="11"/>
        <color rgb="FF000000"/>
        <rFont val="Calibri"/>
        <family val="2"/>
        <scheme val="minor"/>
      </rPr>
      <t xml:space="preserve">As mentioned earlier, we have increased our production capacity 3 times, which </t>
    </r>
    <r>
      <rPr>
        <b/>
        <sz val="14"/>
        <color rgb="FFFF0000"/>
        <rFont val="Calibri"/>
        <family val="2"/>
        <scheme val="minor"/>
      </rPr>
      <t>will start reflecting in revenues from the second quarter of FY '25.</t>
    </r>
    <r>
      <rPr>
        <b/>
        <sz val="11"/>
        <color rgb="FF000000"/>
        <rFont val="Calibri"/>
        <family val="2"/>
        <scheme val="minor"/>
      </rPr>
      <t xml:space="preserve"> We are confident in building a customer base to achieve a total revenue of approximately INR10 crores in FY '25 and potentially increase it to INR100 crores by FY '28.</t>
    </r>
  </si>
  <si>
    <t>In the Biotechnology division, the pilot facility put up at Nagpur recently is functioning well and our R&amp;D activities are quite efficient. We are working on interesting biotechnology applications like for water treatment, alternative energy and health and hygiene. It is going to be interesting to implement some technologies in these areas. We are likely to start clocking revenues in this division from second half of FY '25.</t>
  </si>
  <si>
    <t>SATTRIX</t>
  </si>
  <si>
    <t>SELL 230 - 253</t>
  </si>
  <si>
    <t>Shalibhadra Finance Ltd</t>
  </si>
  <si>
    <t>RISK</t>
  </si>
  <si>
    <t>SHIVALIK Bimetal control</t>
  </si>
  <si>
    <t>SELL 760</t>
  </si>
  <si>
    <t>SHREEOSFM</t>
  </si>
  <si>
    <t xml:space="preserve">NEED TO CHECK </t>
  </si>
  <si>
    <t>Shriram Pistons &amp; Rings</t>
  </si>
  <si>
    <t>SOFTTECH</t>
  </si>
  <si>
    <t>Stylam</t>
  </si>
  <si>
    <t>SupremeP</t>
  </si>
  <si>
    <t>SELL 425- 430</t>
  </si>
  <si>
    <t>SWSOLAR</t>
  </si>
  <si>
    <t>Swastika Investmart Ltd</t>
  </si>
  <si>
    <t>TECHNOE</t>
  </si>
  <si>
    <t>My Projection FY25 Rev 2553(70%)/PAT 460(18%)</t>
  </si>
  <si>
    <t>EPC 99% rev //  DATA CENTER
Leveraging Opportunities--&gt;Transmission :Current Order Book is Rs 4913 Crores
Techno is targeting for  Rs 2000 - 2500 crores every year in this segment
Transmission Market of 3,56,853 Crores //FGD:Current Order Book is Rs 1291 Crores //FGD:Techno is targeting for Rs 1000 crores every year in this segment.</t>
  </si>
  <si>
    <t>Tinna</t>
  </si>
  <si>
    <t>BUY at dip</t>
  </si>
  <si>
    <r>
      <rPr>
        <b/>
        <sz val="11"/>
        <color rgb="FFC00000"/>
        <rFont val="Arial"/>
        <family val="2"/>
      </rPr>
      <t>Fy25 Rev 500 (35% growth) // EBITDA margins of 18% /  PAT 60</t>
    </r>
    <r>
      <rPr>
        <sz val="11"/>
        <color theme="1"/>
        <rFont val="Arial"/>
        <family val="2"/>
      </rPr>
      <t xml:space="preserve">
FY26 REV 675 (35% growth) //EBITDA margins of 18%  // PAT 80
FY27 REV 900 (35% growth) //EBITDA margins of 18% // PAT 110    ////CapEx of anywhere between INR 30 crores to INR 40 crores in FY25 ////</t>
    </r>
    <r>
      <rPr>
        <b/>
        <sz val="11"/>
        <color rgb="FFC00000"/>
        <rFont val="Arial"/>
        <family val="2"/>
      </rPr>
      <t>Our earning guidance for FY '25, we have already mentioned in our earlier call is INR 500 crores</t>
    </r>
    <r>
      <rPr>
        <sz val="11"/>
        <color theme="1"/>
        <rFont val="Arial"/>
        <family val="2"/>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</si>
  <si>
    <r>
      <t xml:space="preserve">The company anticipates a revenue of INR 500 crores for FY25 and aims to achieve INR 900 crores by FY27/////The EPR policy was notified in July 2022.
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To reiterate, it is our aim to reach revenues </t>
    </r>
    <r>
      <rPr>
        <b/>
        <sz val="11"/>
        <color rgb="FFC00000"/>
        <rFont val="Arial"/>
        <family val="2"/>
      </rPr>
      <t>of INR 900 crores by FY27 (Fy24 Rev 363) and achieve EBITDA margins of 18%</t>
    </r>
    <r>
      <rPr>
        <sz val="11"/>
        <color theme="1"/>
        <rFont val="Arial"/>
        <family val="2"/>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Arial"/>
        <family val="2"/>
      </rPr>
      <t xml:space="preserve">EPR </t>
    </r>
    <r>
      <rPr>
        <sz val="11"/>
        <color theme="1"/>
        <rFont val="Arial"/>
        <family val="2"/>
      </rPr>
      <t xml:space="preserve">units. We have some remaining over FY '23 as well. And what we have generated in FY '24 and </t>
    </r>
    <r>
      <rPr>
        <b/>
        <sz val="11"/>
        <color rgb="FFC00000"/>
        <rFont val="Arial"/>
        <family val="2"/>
      </rPr>
      <t>we will generate in FY '25,</t>
    </r>
    <r>
      <rPr>
        <sz val="11"/>
        <color theme="1"/>
        <rFont val="Arial"/>
        <family val="2"/>
      </rPr>
      <t xml:space="preserve"> It's an ongoing process depending on supply and demand. As we see an opportunity, we will monetize.</t>
    </r>
  </si>
  <si>
    <t>TIPS</t>
  </si>
  <si>
    <t>PATM 60.00% REV after 1 Yr REV 283.14 17.00%</t>
  </si>
  <si>
    <t>USHA MARTIN</t>
  </si>
  <si>
    <t>Voltamp Transformers</t>
  </si>
  <si>
    <t>My Projection FY25 Rev 1891(17%)/PAT 416(17%)</t>
  </si>
  <si>
    <t>VOLTAMP” cast resin dry type transformers are manufactured with technology transfer from HTT, Germany in compliance with established international standards and technical features since 1998, enjoying leadership position in Indian market, with 35% market share, with  22,000 installations.</t>
  </si>
  <si>
    <t>WABAG</t>
  </si>
  <si>
    <t>WTICAB</t>
  </si>
  <si>
    <t>NEED TO CHCK Q1 FY25</t>
  </si>
  <si>
    <t>ZIM lab</t>
  </si>
  <si>
    <t>Need to check</t>
  </si>
  <si>
    <r>
      <rPr>
        <b/>
        <sz val="11"/>
        <color rgb="FF7030A0"/>
        <rFont val="Calibri"/>
        <family val="2"/>
        <scheme val="minor"/>
      </rPr>
      <t xml:space="preserve">EBITDA margin of 13%. Is it sustainable for the full year FY ‘25 </t>
    </r>
    <r>
      <rPr>
        <b/>
        <sz val="11"/>
        <color theme="1"/>
        <rFont val="Calibri"/>
        <family val="2"/>
        <scheme val="minor"/>
      </rPr>
      <t xml:space="preserve"> /   manufactures formulation drugs and pre formulation ingredients (KIDS Pediatrics Drug Formula) Business Focus: Strong emphasis on exports, which constitute 80% of their revenue.</t>
    </r>
  </si>
  <si>
    <t>grant of Marketing Authorization for Azithromycin for Oral Suspension 200 mg/5ml (40 mg/ml) in Portugal, Europe to the Wholly owned European Subsidiary of the company.</t>
  </si>
  <si>
    <t>ZEN technology</t>
  </si>
  <si>
    <r>
      <rPr>
        <b/>
        <sz val="11"/>
        <color rgb="FFFF0000"/>
        <rFont val="Arial"/>
        <family val="2"/>
      </rPr>
      <t>Q1Fy25 zen Sales 257CR PAT 79.46cr /// FY25 Rev 750(70%)/PAT 224(30%)</t>
    </r>
    <r>
      <rPr>
        <b/>
        <sz val="11"/>
        <color theme="1"/>
        <rFont val="Arial"/>
        <family val="2"/>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</si>
  <si>
    <t>FY25 R&amp;D we are expecting to be in the tune of around 30 crores but again, you should not hold me to it because we are a very opportunistically our investment R&amp;D company. If we get a good product idea, and the customer suggests that you invest in this, we will not hesitate to invest in that little more than what we have budgeted. So that is one, the second with respect to inorganic acquisition we have taken permission to raise up to, place up to the ₹ 1,000 crores. But, we have not yet identified any target and when and if the things become clear we may raise the bid of the, we may go for the QIP, but as of now, we have to adjust the enabling provision, which will allow us to go and raise./So out of the ₹ 1,400 crore that we have almost ₹ 400+ crores are for exports. And that so, probably out of the ₹ 900 crores, maybe at least 33%, 30% maybe export in that</t>
  </si>
  <si>
    <t>TOTAL</t>
  </si>
  <si>
    <t>tataElXSI</t>
  </si>
  <si>
    <t>RajeshExport</t>
  </si>
  <si>
    <t>INDIGOPNTS</t>
  </si>
  <si>
    <t>KANSAINER</t>
  </si>
  <si>
    <t>Others</t>
  </si>
  <si>
    <t>TOTAL SHORTERM</t>
  </si>
  <si>
    <r>
      <t xml:space="preserve">JUNE 10 :Company expecting anything more than 50% increase in turnover for FY25. //We are expecting anything more than </t>
    </r>
    <r>
      <rPr>
        <b/>
        <sz val="11"/>
        <color rgb="FFC00000"/>
        <rFont val="Calibri"/>
        <family val="2"/>
        <scheme val="minor"/>
      </rPr>
      <t>50% increase in our turnover</t>
    </r>
    <r>
      <rPr>
        <sz val="11"/>
        <color theme="1"/>
        <rFont val="Calibri"/>
        <family val="2"/>
        <scheme val="minor"/>
      </rPr>
      <t xml:space="preserve">, which will be a </t>
    </r>
    <r>
      <rPr>
        <b/>
        <sz val="11"/>
        <color rgb="FFC00000"/>
        <rFont val="Calibri"/>
        <family val="2"/>
        <scheme val="minor"/>
      </rPr>
      <t>very conservative number</t>
    </r>
    <r>
      <rPr>
        <sz val="11"/>
        <color theme="1"/>
        <rFont val="Calibri"/>
        <family val="2"/>
        <scheme val="minor"/>
      </rPr>
      <t xml:space="preserve"> and which will be a very profitable number too. ///This financial year, we are expecting an order book of what we have, I mean, a fresh order book of INR400 to INR500 crores are anticipated this year. all these orders what I am talking about may range from </t>
    </r>
    <r>
      <rPr>
        <b/>
        <sz val="11"/>
        <color rgb="FFC00000"/>
        <rFont val="Calibri"/>
        <family val="2"/>
        <scheme val="minor"/>
      </rPr>
      <t>18 to 24 months</t>
    </r>
    <r>
      <rPr>
        <sz val="11"/>
        <color theme="1"/>
        <rFont val="Calibri"/>
        <family val="2"/>
        <scheme val="minor"/>
      </rPr>
      <t>.//And you currently have INR250 crores worth of orders already in hand</t>
    </r>
  </si>
  <si>
    <t>AVP INFRACON LIMITED has informed the Exchange about Board Meeting to be held on 29-Oct-2024</t>
  </si>
  <si>
    <r>
      <t xml:space="preserve">My Projection </t>
    </r>
    <r>
      <rPr>
        <b/>
        <sz val="11"/>
        <color theme="1"/>
        <rFont val="Calibri"/>
        <family val="2"/>
        <scheme val="minor"/>
      </rPr>
      <t xml:space="preserve">FY25 Rev 250(65%)/PAT 30(12%) </t>
    </r>
    <r>
      <rPr>
        <sz val="11"/>
        <color theme="1"/>
        <rFont val="Calibri"/>
        <family val="2"/>
        <scheme val="minor"/>
      </rPr>
      <t xml:space="preserve">    FY24 Rev 161(%)/PAT 19(12%)
AVP Infracon Secures ₹ 23.6 Cr for Bagalur Bypass and ₹ 47.2 Cr for Kallakurichi-Tiruvannamalai Road Projects</t>
    </r>
  </si>
  <si>
    <r>
      <rPr>
        <b/>
        <sz val="11"/>
        <color rgb="FF7030A0"/>
        <rFont val="Calibri"/>
        <family val="2"/>
        <scheme val="minor"/>
      </rPr>
      <t>FY25 328(30%)//PAT 46(14%) 750 crore worth of order booK next two to three years</t>
    </r>
    <r>
      <rPr>
        <sz val="11"/>
        <color theme="1"/>
        <rFont val="Calibri"/>
        <family val="2"/>
        <scheme val="minor"/>
      </rPr>
      <t xml:space="preserve">
FY26 426(30%)//PAT 60(14%)   FY25 553(30%)//PAT 77(14%)  FY25 718(30%)//PAT 100(14%) Q1FY25 74(37%YOY)//PAT 12(16.22%) Q4FY24 78(%)//PAT 12(15.38%)
Q1FY25 54(9.54%)//PAT 8(7.42%) </t>
    </r>
    <r>
      <rPr>
        <b/>
        <sz val="11"/>
        <color theme="1"/>
        <rFont val="Calibri"/>
        <family val="2"/>
        <scheme val="minor"/>
      </rPr>
      <t xml:space="preserve">FY24 253(15%)//PAT 35(13.83%) </t>
    </r>
    <r>
      <rPr>
        <sz val="11"/>
        <color theme="1"/>
        <rFont val="Calibri"/>
        <family val="2"/>
        <scheme val="minor"/>
      </rPr>
      <t>FY23 220()//PAT 31(14%)
we are into are growing in the range of aroun</t>
    </r>
    <r>
      <rPr>
        <sz val="11"/>
        <color rgb="FFFF0000"/>
        <rFont val="Calibri"/>
        <family val="2"/>
        <scheme val="minor"/>
      </rPr>
      <t xml:space="preserve">d 20% to 25% to 30% </t>
    </r>
    <r>
      <rPr>
        <sz val="11"/>
        <color theme="1"/>
        <rFont val="Calibri"/>
        <family val="2"/>
        <scheme val="minor"/>
      </rPr>
      <t xml:space="preserve">and we are also benchmarking our growth to the sectoral growth.//we 
have almost </t>
    </r>
    <r>
      <rPr>
        <b/>
        <sz val="11"/>
        <color rgb="FFFF0000"/>
        <rFont val="Calibri"/>
        <family val="2"/>
        <scheme val="minor"/>
      </rPr>
      <t xml:space="preserve">750 crore worth of order book </t>
    </r>
    <r>
      <rPr>
        <sz val="11"/>
        <color theme="1"/>
        <rFont val="Calibri"/>
        <family val="2"/>
        <scheme val="minor"/>
      </rPr>
      <t xml:space="preserve">which we have to execute in the </t>
    </r>
    <r>
      <rPr>
        <b/>
        <sz val="11"/>
        <color rgb="FFFF0000"/>
        <rFont val="Calibri"/>
        <family val="2"/>
        <scheme val="minor"/>
      </rPr>
      <t>period of next two to three years</t>
    </r>
    <r>
      <rPr>
        <sz val="11"/>
        <color theme="1"/>
        <rFont val="Calibri"/>
        <family val="2"/>
        <scheme val="minor"/>
      </rPr>
      <t>. So we expect the growth to be in line with the targets, as well as the overall segment growth which we expect in the range o</t>
    </r>
    <r>
      <rPr>
        <b/>
        <sz val="11"/>
        <color rgb="FFFF0000"/>
        <rFont val="Calibri"/>
        <family val="2"/>
        <scheme val="minor"/>
      </rPr>
      <t>f around 20% to 25% to 30%.</t>
    </r>
    <r>
      <rPr>
        <sz val="11"/>
        <color theme="1"/>
        <rFont val="Calibri"/>
        <family val="2"/>
        <scheme val="minor"/>
      </rPr>
      <t xml:space="preserve">  ///Ceinsys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r>
  </si>
  <si>
    <r>
      <t>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Calibri"/>
        <family val="2"/>
        <scheme val="minor"/>
      </rPr>
      <t xml:space="preserve">cquisition of Ally Grow </t>
    </r>
    <r>
      <rPr>
        <sz val="11"/>
        <color theme="1"/>
        <rFont val="Calibri"/>
        <family val="2"/>
        <scheme val="minor"/>
      </rPr>
      <t xml:space="preserve">Technologies facilitates entry into the mobility services sector,capitalizing on the convergence of GIS and autonomous driving technologies </t>
    </r>
  </si>
  <si>
    <r>
      <t>We have already on-boarded Karolina, our CMO. We will build tech partnerships and alliances, and establish our Gen AI proposition and also leverage the analysts and advisers community, which we have not done in the past. So, this is for FY'25 the key focus areas  We will add multiple channels for lead generation which will help us double the pipeline margin guidance,if I understand correctly, 24% to 28% is for only FY'25 ///</t>
    </r>
    <r>
      <rPr>
        <sz val="11"/>
        <color theme="1"/>
        <rFont val="Calibri"/>
        <family val="2"/>
        <scheme val="minor"/>
      </rPr>
      <t>eClerx provides business process management, automation and analytics services to a number of Fortune 2000 enterprises, including some of the world's leading financial services, communications, retail, fashion, media &amp; entertainment, manufacturing, travel &amp; leisure and technology companies. Incorporated in 2000, eClerx is today traded on both the Bombay and National Stock Exchanges of India. The firm employs about 17,750 people across Australia, Canada, Germany, India, Italy, Paris, Netherlands, Philippines, Singapore, Dubai, Thailand, UK and the USA</t>
    </r>
  </si>
  <si>
    <t>Our pipeline is healthy across all 3 businesses as we get into FY '24/'25. //The margin guidance that we have given 24% to 28% is for FY '25, /////Mine existing clients and win new logos, you saw was the strategy we laid out in terms of building adjacent capabilities, generating, and winning large deals. We have got &gt;$2 million ACV, which is about $10 million in TCV if we are looking at 5-year deal count. How do we build integrated solutions and increase the overall size of the deal. Double the pipeline, cross sales, as I mentioned we have 3 businesses, some of it has capability, the verticals that we service. So, there is an opportunity for us to cross-sell some of our capabilities into new verticals, and we'll continue to deal with tech and analytics differentiation that we have.</t>
  </si>
  <si>
    <t xml:space="preserve">In FY '25, we intend to add approximately 20 boutiques. We intend to keep growing our physical network in the years to come. </t>
  </si>
  <si>
    <r>
      <rPr>
        <b/>
        <sz val="11"/>
        <color rgb="FF7030A0"/>
        <rFont val="Arial"/>
        <family val="2"/>
      </rPr>
      <t xml:space="preserve">Q1FY25 Rev 913(6.4%)/PAT 36(4%) BUT Guidline FY25 Rev 4089(16%)/PAT 164(4%) //////My Projection FY25 Rev 4054(15%)/PAT 203(5%)  </t>
    </r>
    <r>
      <rPr>
        <b/>
        <sz val="11"/>
        <color rgb="FF000000"/>
        <rFont val="Arial"/>
        <family val="2"/>
      </rPr>
      <t xml:space="preserve">   Expansion: up a plant for producing hydraulic tubes that will </t>
    </r>
    <r>
      <rPr>
        <b/>
        <u/>
        <sz val="11"/>
        <color rgb="FF000000"/>
        <rFont val="Arial"/>
        <family val="2"/>
      </rPr>
      <t>be commissioned by July 2024.</t>
    </r>
    <r>
      <rPr>
        <b/>
        <sz val="11"/>
        <color rgb="FF000000"/>
        <rFont val="Arial"/>
        <family val="2"/>
      </rPr>
      <t xml:space="preserve"> Post-commissioning the total capacity will be 480,000 MTPA.</t>
    </r>
    <r>
      <rPr>
        <b/>
        <sz val="11"/>
        <color rgb="FF000000"/>
        <rFont val="Arial"/>
        <family val="2"/>
      </rPr>
      <t xml:space="preserve"> //The total contribution will be two quarters only this year. From next year it will be fully ramped 
up and we are expecting addition of around 250 crores this year and the next year we are  expecting around 500 crores. </t>
    </r>
    <r>
      <rPr>
        <b/>
        <sz val="11"/>
        <color rgb="FF000000"/>
        <rFont val="Arial"/>
        <family val="2"/>
      </rPr>
      <t xml:space="preserve"> ///Right now, our revenue is 3527, the 31st March 2024 and this year we are likely to take it almost </t>
    </r>
    <r>
      <rPr>
        <b/>
        <sz val="11"/>
        <color rgb="FFFF0000"/>
        <rFont val="Arial"/>
        <family val="2"/>
      </rPr>
      <t>4100 crore</t>
    </r>
    <r>
      <rPr>
        <b/>
        <sz val="11"/>
        <color rgb="FF000000"/>
        <rFont val="Arial"/>
        <family val="2"/>
      </rPr>
      <t xml:space="preserve">s and in the next year, we will be taking it to 4800 where it’s all four quarters will  come. This year it will be only two quarters. Say 250 crores and in the next year it will be 500 crores. </t>
    </r>
  </si>
  <si>
    <r>
      <t xml:space="preserve">a 15% to 20% guidance year-on-year vision we have given and that I don't think any problem, any issue right now // Defence production should be start in the 1st Quarter of next year while it is almost six to eight 
months ahead of schedule. We will be manufacturing 155 mm gun shells and that production  as on date we have a very strong demand with us. The inquiry is very encouraging, and we hope  that this plant  commissioning will be a game changer to the Company. //Besides that, we continue to grow, and we will continue to grow. For last three years, we have been growing at the </t>
    </r>
    <r>
      <rPr>
        <sz val="11"/>
        <color theme="1"/>
        <rFont val="Arial"/>
        <family val="2"/>
      </rPr>
      <t>rate of almost 20%</t>
    </r>
  </si>
  <si>
    <t>Hindustan Foods Ltd</t>
  </si>
  <si>
    <r>
      <rPr>
        <b/>
        <u/>
        <sz val="11"/>
        <color rgb="FF7030A0"/>
        <rFont val="Calibri"/>
        <family val="2"/>
        <scheme val="minor"/>
      </rPr>
      <t xml:space="preserve">FY25 4000(45%)//PAT 155(3.90%)  OR FY25 2920(6%Yoy Q)//PAT 102(3.5%)    </t>
    </r>
    <r>
      <rPr>
        <b/>
        <sz val="11"/>
        <color theme="1"/>
        <rFont val="Calibri"/>
        <family val="2"/>
        <scheme val="minor"/>
      </rPr>
      <t xml:space="preserve">
</t>
    </r>
    <r>
      <rPr>
        <b/>
        <sz val="11"/>
        <color rgb="FFC00000"/>
        <rFont val="Calibri"/>
        <family val="2"/>
        <scheme val="minor"/>
      </rPr>
      <t xml:space="preserve">Q1FY25 868(40% YoY)//PAT 27.2(3.3%) </t>
    </r>
    <r>
      <rPr>
        <b/>
        <sz val="11"/>
        <color theme="1"/>
        <rFont val="Calibri"/>
        <family val="2"/>
        <scheme val="minor"/>
      </rPr>
      <t xml:space="preserve">///FY24 2755(6%Yoy Q)//PAT 93(3.38%)// Q4FY24 731(10.76%Yoy Q)//PAT 23(3.15%)  --&gt; </t>
    </r>
    <r>
      <rPr>
        <b/>
        <sz val="11"/>
        <color rgb="FF7030A0"/>
        <rFont val="Calibri"/>
        <family val="2"/>
        <scheme val="minor"/>
      </rPr>
      <t xml:space="preserve">PAT 3.89%   </t>
    </r>
    <r>
      <rPr>
        <b/>
        <sz val="11"/>
        <color theme="1"/>
        <rFont val="Calibri"/>
        <family val="2"/>
        <scheme val="minor"/>
      </rPr>
      <t>///The factory set up in Guwahati, Assam for production of juices commenced production as per schedule. The total CAPEX incurred for the same is approximately 20 crores. The scope of work for the new ice cream factory being set up in Kundli, Haryana, has increased. This will result in an overall CAPEX of approximately 150 crores as against an earlier estimate of 100 crores. T</t>
    </r>
    <r>
      <rPr>
        <b/>
        <sz val="11"/>
        <color rgb="FFFF0000"/>
        <rFont val="Calibri"/>
        <family val="2"/>
        <scheme val="minor"/>
      </rPr>
      <t>he company expects to commence production by Q3 FY25.</t>
    </r>
    <r>
      <rPr>
        <b/>
        <sz val="11"/>
        <color theme="1"/>
        <rFont val="Calibri"/>
        <family val="2"/>
        <scheme val="minor"/>
      </rPr>
      <t xml:space="preserve"> Investment of 50 crores has been planned at Hyderabad plant for expansion. The board has approved investing up to 40 crores for its color cosmetics plants located in Silvassa, investment of 20 crores for expansion of capacity at the ice cream plant in Lucknow. The company has completed </t>
    </r>
    <r>
      <rPr>
        <b/>
        <sz val="11"/>
        <color rgb="FFFF0000"/>
        <rFont val="Calibri"/>
        <family val="2"/>
        <scheme val="minor"/>
      </rPr>
      <t>acquisition of all the facilities under KNS Shoetech and operations are expected to stabilize from Q2 FY25 onwards.</t>
    </r>
    <r>
      <rPr>
        <b/>
        <sz val="11"/>
        <color theme="1"/>
        <rFont val="Calibri"/>
        <family val="2"/>
        <scheme val="minor"/>
      </rPr>
      <t>///</t>
    </r>
    <r>
      <rPr>
        <b/>
        <sz val="11"/>
        <color rgb="FFC00000"/>
        <rFont val="Calibri"/>
        <family val="2"/>
        <scheme val="minor"/>
      </rPr>
      <t>The Company has commenced trial production of sports shoes at two new locations in the south and expects to ramp them up in Q2FY25. //Received Board approval to invest up to Rs. 40 cr. in the colour cosmetics plant located at Silvassa Invested Rs. 20 cr. for expansion of capacity at ice cream plant in Lucknow</t>
    </r>
  </si>
  <si>
    <r>
      <t xml:space="preserve">Q1 Call August 14:little early to judge whether this is a revival of the consumption demand, or a temporary dip caused by the elections/While the FMCG sector slowly regains its momentum, we continue to be extremely bullish about our foray into footwear//, I'm pleased to inform 
you that the </t>
    </r>
    <r>
      <rPr>
        <b/>
        <sz val="11"/>
        <color rgb="FFC00000"/>
        <rFont val="Calibri"/>
        <family val="2"/>
        <scheme val="minor"/>
      </rPr>
      <t xml:space="preserve">integration of health care and wellness plant in Baddi is progressing </t>
    </r>
    <r>
      <rPr>
        <b/>
        <sz val="11"/>
        <color theme="1"/>
        <rFont val="Calibri"/>
        <family val="2"/>
        <scheme val="minor"/>
      </rPr>
      <t>and has clocked the</t>
    </r>
    <r>
      <rPr>
        <b/>
        <sz val="11"/>
        <color rgb="FFC00000"/>
        <rFont val="Calibri"/>
        <family val="2"/>
        <scheme val="minor"/>
      </rPr>
      <t xml:space="preserve"> highest production in July '24, last month.</t>
    </r>
    <r>
      <rPr>
        <b/>
        <sz val="11"/>
        <color theme="1"/>
        <rFont val="Calibri"/>
        <family val="2"/>
        <scheme val="minor"/>
      </rPr>
      <t xml:space="preserve">/ regulatory approvals and have resumed exports to UAE, Australia, Africa and in addition to the domestic business. //North shoe factory is progressing, and we expect it to be </t>
    </r>
    <r>
      <rPr>
        <b/>
        <sz val="11"/>
        <color rgb="FFC00000"/>
        <rFont val="Calibri"/>
        <family val="2"/>
        <scheme val="minor"/>
      </rPr>
      <t>completed by the next quarter</t>
    </r>
    <r>
      <rPr>
        <b/>
        <sz val="11"/>
        <color theme="1"/>
        <rFont val="Calibri"/>
        <family val="2"/>
        <scheme val="minor"/>
      </rPr>
      <t>. In the meantime, we have started operations in the new sports 
shoe line that are in the south and are confident of ramping them to th</t>
    </r>
    <r>
      <rPr>
        <b/>
        <sz val="11"/>
        <color rgb="FFC00000"/>
        <rFont val="Calibri"/>
        <family val="2"/>
        <scheme val="minor"/>
      </rPr>
      <t>e full capacity by Q3.</t>
    </r>
    <r>
      <rPr>
        <b/>
        <sz val="11"/>
        <color theme="1"/>
        <rFont val="Calibri"/>
        <family val="2"/>
        <scheme val="minor"/>
      </rPr>
      <t xml:space="preserve"> ///</t>
    </r>
    <r>
      <rPr>
        <b/>
        <sz val="11"/>
        <color rgb="FFFF0000"/>
        <rFont val="Calibri"/>
        <family val="2"/>
        <scheme val="minor"/>
      </rPr>
      <t xml:space="preserve">As far as new sites are concerned, the new ice cream factory that was being set up in n Kundli, Haryana has been transferred to Nashik due to certain operational issues, and this has led to some delay in the project. Production is expected to commence by March '25, that is the next season.
</t>
    </r>
    <r>
      <rPr>
        <b/>
        <sz val="11"/>
        <color theme="1"/>
        <rFont val="Calibri"/>
        <family val="2"/>
        <scheme val="minor"/>
      </rPr>
      <t xml:space="preserve">So, </t>
    </r>
    <r>
      <rPr>
        <b/>
        <sz val="11"/>
        <color rgb="FFC00000"/>
        <rFont val="Calibri"/>
        <family val="2"/>
        <scheme val="minor"/>
      </rPr>
      <t>the reason why we've stayed away from mentioning about INR4,000 crores i</t>
    </r>
    <r>
      <rPr>
        <b/>
        <sz val="11"/>
        <color theme="1"/>
        <rFont val="Calibri"/>
        <family val="2"/>
        <scheme val="minor"/>
      </rPr>
      <t>s -- the actual answer is, we don't know. In this past quarter,</t>
    </r>
    <r>
      <rPr>
        <b/>
        <sz val="11"/>
        <color rgb="FF7030A0"/>
        <rFont val="Calibri"/>
        <family val="2"/>
        <scheme val="minor"/>
      </rPr>
      <t xml:space="preserve"> it's been -- the volumes have ramped up to the level that </t>
    </r>
    <r>
      <rPr>
        <b/>
        <u/>
        <sz val="11"/>
        <color rgb="FF7030A0"/>
        <rFont val="Calibri"/>
        <family val="2"/>
        <scheme val="minor"/>
      </rPr>
      <t>we want</t>
    </r>
    <r>
      <rPr>
        <b/>
        <sz val="11"/>
        <color rgb="FF7030A0"/>
        <rFont val="Calibri"/>
        <family val="2"/>
        <scheme val="minor"/>
      </rPr>
      <t xml:space="preserve">. The volumes actually have ramped up to a level which should generate at normal levels generate a turnover </t>
    </r>
    <r>
      <rPr>
        <b/>
        <u/>
        <sz val="11"/>
        <color rgb="FF7030A0"/>
        <rFont val="Calibri"/>
        <family val="2"/>
        <scheme val="minor"/>
      </rPr>
      <t>greater than INR4,000 crores</t>
    </r>
    <r>
      <rPr>
        <b/>
        <sz val="11"/>
        <color theme="1"/>
        <rFont val="Calibri"/>
        <family val="2"/>
        <scheme val="minor"/>
      </rPr>
      <t>. This is why we've been forthright in saying that our bottom-line numbers should not get affected by this inflation/deflation. However, as far as the top line number is concerned, I really don't know how the macroeconomic conditions are going to work out in terms of petrochemical prices or agricultural commodity.</t>
    </r>
  </si>
  <si>
    <r>
      <t xml:space="preserve">The 4,000Cr SALES number the guidance that we are giving is assuming that prices will not fall further.Baddi or ice creams where the CAPEX is much more/we do believe that we should be able to end up with a 3x to 4x asset turn as a company as a whole// Acquisition: o </t>
    </r>
    <r>
      <rPr>
        <b/>
        <sz val="11"/>
        <color rgb="FFFF0000"/>
        <rFont val="Calibri"/>
        <family val="2"/>
        <scheme val="minor"/>
      </rPr>
      <t xml:space="preserve">Acquired Reckitt Benckiser </t>
    </r>
    <r>
      <rPr>
        <b/>
        <sz val="11"/>
        <color theme="1"/>
        <rFont val="Calibri"/>
        <family val="2"/>
        <scheme val="minor"/>
      </rPr>
      <t xml:space="preserve">Healthcare India Private Limited’s manufacturing facility in Baddi, Himachal Pradesh as a move to expand the Healthcare and Wellness division//  </t>
    </r>
    <r>
      <rPr>
        <b/>
        <sz val="11"/>
        <color rgb="FFC00000"/>
        <rFont val="Calibri"/>
        <family val="2"/>
        <scheme val="minor"/>
      </rPr>
      <t>2022-23 Acquired 100% stake in Reckitt Benckiser Scholl India to expand OTC Healthcare &amp; Wellness segment Commenced commercial production of the Ice Cream plant in Uttar Pradesh Commenced commercial production of Sports/Knitted shoes in Tamil Nadu</t>
    </r>
  </si>
  <si>
    <t xml:space="preserve"> They highlighted that they will reach a gross block amount of 1500  Cr by FY25 &amp; 1800 Cr by FY26 or H1FY27  Currently, the asset turn guidance as given by the management is  between 3-4 times. While forecasting the future revenue, this  number has been taken as 3.5 times.</t>
  </si>
  <si>
    <t>PNGS Gargi Fashion LOT 250</t>
  </si>
  <si>
    <r>
      <t xml:space="preserve">My Projection FY25 Rev 75(75%)/PAT 15(17%) /// </t>
    </r>
    <r>
      <rPr>
        <b/>
        <sz val="11"/>
        <color rgb="FFFF0000"/>
        <rFont val="Calibri"/>
        <family val="2"/>
        <scheme val="minor"/>
      </rPr>
      <t>Q1FY25 44 (500%) //PAT 10(22.73%)</t>
    </r>
    <r>
      <rPr>
        <b/>
        <sz val="11"/>
        <color rgb="FF7030A0"/>
        <rFont val="Calibri"/>
        <family val="2"/>
        <scheme val="minor"/>
      </rPr>
      <t xml:space="preserve">  /// FY24 50 (70%) //PAT 8(16%)    
/FY25 95 (90%) //PAT 19(20%) //AUG9# demand is shown in the subsequent month of July also after closure of 1st Quarter. And if that 
demand remains robust, as we have shown in July and the subsequent period, I am confident that Q2 will be also good one. Q3 is always best one, and Q4 again for the fashion jewellery,//In the 2nd Quarter also, they are doing well. As it is, there was a monsoon sale was there in month of July, where we performed extremely well. And during that period, they were calling for the new variety from our side.</t>
    </r>
  </si>
  <si>
    <t xml:space="preserve"> I will correct you. You are saying INR100 crores. I am 
not saying INR100 crores. I said in last two meetings also, this meeting also, I am telling you. 
That whatever time I had said somewhere that I will have FY '25 with INR100 crores. That time, 
I was not listed. I was not monitored by any statutory authorities. That time, it was just a 
interview after starting or launching the brand. And that's why it was said. I will try to achieve. 
But it is not my commitment or anything. But you can go ahead with your question remove that 
INR100 crores and continue with the question. </t>
  </si>
  <si>
    <t>Infollion Lot 800</t>
  </si>
  <si>
    <t>Hopefully we should we will aim for an even better financial year 25.//Industry basis, the top 4 would be top 4 would be as as it was reflected in the Indian economy, the IT services is top, Healthcare Life Sciences is is also amongst the top, CPG retail is, of course, there, and fourth is BFSI. These 4 together represent about 60% of our business.//And you see, you see, a 40% growth coming from this end. And the new things. Also, I mean. So, your 40%.</t>
  </si>
  <si>
    <r>
      <rPr>
        <b/>
        <sz val="11"/>
        <color rgb="FFFF0000"/>
        <rFont val="Calibri"/>
        <family val="2"/>
        <scheme val="minor"/>
      </rPr>
      <t>My Projection Q1FY25 16.8(40%)//PAT 2.8 Cr(17%)</t>
    </r>
    <r>
      <rPr>
        <sz val="11"/>
        <color theme="1"/>
        <rFont val="Calibri"/>
        <family val="2"/>
        <scheme val="minor"/>
      </rPr>
      <t xml:space="preserve">
FY25 72.45(40%)//PAT 11.6(16%)
6 month --&gt;March24 26.64(%)//PAT 4.34(14%)  --&gt;  Q1FY24 13.3cr/PAT 2.1Cr(17%)
6 month --&gt;Sep23  25.11(%)//PAT 4.23(%) --&gt;  Q1FY24 12cr/PAT 2.1Cr(17.50%)
FY24 51.75(53.42%)//PAT 8.57(16.56%)
FY23 33.73(%)//PAT 4.2(14%)</t>
    </r>
  </si>
  <si>
    <t>FY25 628(25%Yoy Q) //PAT 63(10%)
Q1FY25 82.15 (-11.88%Yoy Q)//PAT 5.91 (7.19%)
Q4FY24 174.71 (25%Yoy Q) //PAT 25.57 (14.64%)
Q3FY24 139.47 (Yoy Q) //PAT 10.68 (7.66%)
Q1FY24 93.22 (Yoy Q) //PAT 3.54 (3.80%)
FY24 503 (25.58%Yoy Q) //PAT 47 (9.34%)
FY23 371 (Yoy Q) //PAT 26 (3.80%)</t>
  </si>
  <si>
    <t>Jay bee lamination JAYBEE</t>
  </si>
  <si>
    <r>
      <t xml:space="preserve">My Proj </t>
    </r>
    <r>
      <rPr>
        <b/>
        <sz val="12"/>
        <color rgb="FFFF0000"/>
        <rFont val="Arial"/>
        <family val="2"/>
      </rPr>
      <t xml:space="preserve">FY25 370(22%)//PAT 22(7%)  
</t>
    </r>
    <r>
      <rPr>
        <b/>
        <sz val="12"/>
        <color theme="1"/>
        <rFont val="Arial"/>
        <family val="2"/>
      </rPr>
      <t xml:space="preserve">FY24 303(23.17%)//PAT 19(6.27%) 
FY23 246()//PAT 14(5.69%) </t>
    </r>
  </si>
  <si>
    <t xml:space="preserve">H1 Fy25 PAT 48% UP although Sales is Same 153.17 CR , Look Margin increased </t>
  </si>
  <si>
    <t>Kaynes Technology I</t>
  </si>
  <si>
    <r>
      <t xml:space="preserve">Acquisition Co. in Dec 2023 acquired 100% stake in Digicom Electronics INC. USA for USD 2.5 million which is in Electronics Manufacturing Services / my </t>
    </r>
    <r>
      <rPr>
        <b/>
        <sz val="11"/>
        <color rgb="FF7030A0"/>
        <rFont val="Calibri"/>
        <family val="2"/>
        <scheme val="minor"/>
      </rPr>
      <t xml:space="preserve">FY25 Sales 3000 PAT 300CR (10%).
Q1FY25 504(70%Yoy Q) //PAT 51(10%)
</t>
    </r>
    <r>
      <rPr>
        <sz val="11"/>
        <color theme="1"/>
        <rFont val="Calibri"/>
        <family val="2"/>
        <scheme val="minor"/>
      </rPr>
      <t xml:space="preserve">Q1FY24 297(Yoy Q) //PAT 25(8.42%)
FY24 1805(60.30Yoy Q) //PAT 183(10.14%)
FY23 1126(Yoy Q) //PAT 95(8.44%) //////  </t>
    </r>
    <r>
      <rPr>
        <b/>
        <sz val="11"/>
        <color rgb="FFC00000"/>
        <rFont val="Calibri"/>
        <family val="2"/>
        <scheme val="minor"/>
      </rPr>
      <t xml:space="preserve">1St Qrt 16.8% of 3000Cr is 504 Acheived
</t>
    </r>
    <r>
      <rPr>
        <b/>
        <sz val="11"/>
        <color rgb="FF7030A0"/>
        <rFont val="Calibri"/>
        <family val="2"/>
        <scheme val="minor"/>
      </rPr>
      <t xml:space="preserve">2nd Qrt 25% 750 Q2FY25 750//PAT 75(10%) as per the guideline.
</t>
    </r>
    <r>
      <rPr>
        <sz val="11"/>
        <color theme="1"/>
        <rFont val="Calibri"/>
        <family val="2"/>
        <scheme val="minor"/>
      </rPr>
      <t>For the financial year 2025 going ahead, we expect to have a good traction from all the different verticals, and we will meet and exceed our estimates of 30,000 million of revenue and corresponding EBITDA margin targeting at 15% for FY '25. Kaynes is constantly seeking to stay up to date with the newest technology advancements, hence eager to invest in or collaborate with such businesses.//We can better serve our current customer base and attract new important clients in India and abroad by maintaining our focus on vertical competency and implementing a continuous improvement plan in quality, delivery, and automation. We are in the</t>
    </r>
    <r>
      <rPr>
        <sz val="11"/>
        <color rgb="FFC00000"/>
        <rFont val="Calibri"/>
        <family val="2"/>
        <scheme val="minor"/>
      </rPr>
      <t xml:space="preserve"> final stage of obtaining government approvals for our new investments and expect the approval soon</t>
    </r>
    <r>
      <rPr>
        <sz val="11"/>
        <color theme="1"/>
        <rFont val="Calibri"/>
        <family val="2"/>
        <scheme val="minor"/>
      </rPr>
      <t xml:space="preserve">. Now the new government is informed, and budget has already announced.//We have </t>
    </r>
    <r>
      <rPr>
        <sz val="11"/>
        <color rgb="FFC00000"/>
        <rFont val="Calibri"/>
        <family val="2"/>
        <scheme val="minor"/>
      </rPr>
      <t>acquired land in the state of Gujarat which will be starting our construction shortl</t>
    </r>
    <r>
      <rPr>
        <sz val="11"/>
        <color theme="1"/>
        <rFont val="Calibri"/>
        <family val="2"/>
        <scheme val="minor"/>
      </rPr>
      <t xml:space="preserve">y.Meanwhile, we also activated the collaboration and the team formation on onboarding is happening parallelly for our OSAT business. We expect a positive response in the </t>
    </r>
    <r>
      <rPr>
        <b/>
        <sz val="11"/>
        <color rgb="FFC00000"/>
        <rFont val="Calibri"/>
        <family val="2"/>
        <scheme val="minor"/>
      </rPr>
      <t>OSAT business in FY '26</t>
    </r>
    <r>
      <rPr>
        <sz val="11"/>
        <color theme="1"/>
        <rFont val="Calibri"/>
        <family val="2"/>
        <scheme val="minor"/>
      </rPr>
      <t xml:space="preserve"> ///As far as our approval is concerned, it is in the final stage and is expected at any moment. Regarding the </t>
    </r>
    <r>
      <rPr>
        <b/>
        <sz val="11"/>
        <color rgb="FFC00000"/>
        <rFont val="Calibri"/>
        <family val="2"/>
        <scheme val="minor"/>
      </rPr>
      <t>HDI Printed Circuit Board project,</t>
    </r>
    <r>
      <rPr>
        <sz val="11"/>
        <color theme="1"/>
        <rFont val="Calibri"/>
        <family val="2"/>
        <scheme val="minor"/>
      </rPr>
      <t xml:space="preserve"> we are proceeding as per plan. Having set up the team, we are in the final stages of land acquisition and is indicated as indicated earlier, we expect to post revenues in </t>
    </r>
    <r>
      <rPr>
        <b/>
        <sz val="11"/>
        <color rgb="FFC00000"/>
        <rFont val="Calibri"/>
        <family val="2"/>
        <scheme val="minor"/>
      </rPr>
      <t>Printed Circuit Board business in FY '26.</t>
    </r>
    <r>
      <rPr>
        <sz val="11"/>
        <color theme="1"/>
        <rFont val="Calibri"/>
        <family val="2"/>
        <scheme val="minor"/>
      </rPr>
      <t xml:space="preserve">////Going forward, the leverage will be available better because as you know the sales will increase.First quarter generally 15%, 16% of the total year, </t>
    </r>
    <r>
      <rPr>
        <b/>
        <sz val="11"/>
        <color rgb="FFC00000"/>
        <rFont val="Calibri"/>
        <family val="2"/>
        <scheme val="minor"/>
      </rPr>
      <t>second quarter will be 25 years 25%</t>
    </r>
    <r>
      <rPr>
        <sz val="11"/>
        <color theme="1"/>
        <rFont val="Calibri"/>
        <family val="2"/>
        <scheme val="minor"/>
      </rPr>
      <t>. So you will start getting some good leverage going forward. And I think so one is the better mix which will drive gross margin and then better leverage this will drive even better EBITDA. So we are confident that this is a transient phenomenon. And so we think that we'll be fast in the second quarter end at least we'll definitely be better off.</t>
    </r>
  </si>
  <si>
    <t>Original equipment Manufacturer (OEM) - Turnkey - Box Build (39%): Specializes in delivering ‘Build To Print’ or ‘Build to Specializations services across diverse industry verticals, right from complex box builds to sub-systems and products.
OEM - Turnkey Solutions - Printed Circuit Board Assemblies ("PCBAs") (56%): Encompass PCBAs, cable harnesses, magnetics and plastics. Expertise ranges from prototyping to product realization, including mass manufacturing, ensuring a seamless and efficient manufacturing process.
Original Design Manufacturing (ODM) (2%): ODM offerings cover a wide range of solutions, including smart metering technology, smart street lighting, BLDC technology, inverter technology, gallium nitride-based charging technology and IoT solutions for smart consumer appliances and devices.
Product Design &amp; Engineering (3%): Offer a comprehensive range of engineering services, including Embedded Design, Firmware and Software Development, Mechanical Design, Prototyping and Regulatory/ Certification support.</t>
  </si>
  <si>
    <t>KALYANI CAST TECH LTD(250 LOT)</t>
  </si>
  <si>
    <r>
      <rPr>
        <b/>
        <sz val="11"/>
        <color rgb="FFFF0000"/>
        <rFont val="Calibri"/>
        <family val="2"/>
        <scheme val="minor"/>
      </rPr>
      <t xml:space="preserve">FY25 160(?%)//PAT22(10%) </t>
    </r>
    <r>
      <rPr>
        <b/>
        <sz val="11"/>
        <color theme="1"/>
        <rFont val="Calibri"/>
        <family val="2"/>
        <scheme val="minor"/>
      </rPr>
      <t xml:space="preserve">OR </t>
    </r>
    <r>
      <rPr>
        <b/>
        <sz val="11"/>
        <color rgb="FF7030A0"/>
        <rFont val="Calibri"/>
        <family val="2"/>
        <scheme val="minor"/>
      </rPr>
      <t>FY25 137(45%)//PAT 13.7(10%)</t>
    </r>
    <r>
      <rPr>
        <b/>
        <sz val="11"/>
        <color theme="1"/>
        <rFont val="Calibri"/>
        <family val="2"/>
        <scheme val="minor"/>
      </rPr>
      <t xml:space="preserve"> EBITDA Margin 10% </t>
    </r>
    <r>
      <rPr>
        <b/>
        <sz val="11"/>
        <color rgb="FFC00000"/>
        <rFont val="Calibri"/>
        <family val="2"/>
        <scheme val="minor"/>
      </rPr>
      <t xml:space="preserve">PAT will be between 10% to 13% // </t>
    </r>
    <r>
      <rPr>
        <b/>
        <sz val="11"/>
        <color theme="1"/>
        <rFont val="Calibri"/>
        <family val="2"/>
        <scheme val="minor"/>
      </rPr>
      <t xml:space="preserve">(40% to 50% is the top-line growth.
(we have already got INR 80 crores of orders that we'll be able to complete by the 15th of October. )
FY24 94.48(44.75%)//PAT 9.58(10.14%)EBITDA Margin 15% around FY23 63.27(%)//PAT 8(4.15%)  </t>
    </r>
  </si>
  <si>
    <t>KALYANI CAST TECH LTD</t>
  </si>
  <si>
    <r>
      <t xml:space="preserve">Our innovative ideas are appreciated by Minister for Railways, Mr. Ashwini Vaishnaw,Government of India and he along with 150 railway officers visited our plant to appreciate and understand various innovative ideas we do and which arc benefiting Indian Railways. So, now will be giving you a brief introduction about our promoter group. 
//I am Naresh Kumar. I am </t>
    </r>
    <r>
      <rPr>
        <b/>
        <sz val="11"/>
        <color rgb="FFC00000"/>
        <rFont val="Calibri"/>
        <family val="2"/>
        <scheme val="minor"/>
      </rPr>
      <t>MTech in Mechanical Engincering from IIT Madras</t>
    </r>
    <r>
      <rPr>
        <b/>
        <sz val="11"/>
        <color theme="1"/>
        <rFont val="Calibri"/>
        <family val="2"/>
        <scheme val="minor"/>
      </rPr>
      <t xml:space="preserve">. </t>
    </r>
    <r>
      <rPr>
        <b/>
        <sz val="11"/>
        <color rgb="FF7030A0"/>
        <rFont val="Calibri"/>
        <family val="2"/>
        <scheme val="minor"/>
      </rPr>
      <t>I served Indian Railways as Class 1 
officer for 17 years</t>
    </r>
    <r>
      <rPr>
        <b/>
        <sz val="11"/>
        <color theme="1"/>
        <rFont val="Calibri"/>
        <family val="2"/>
        <scheme val="minor"/>
      </rPr>
      <t xml:space="preserve">. I have been the architect of many innovative works on Indian Railways like running of double-stack trains, running of double-stack box container trains for rectified route. 
//Thave been engaged in design, development and mamufacturing of special containers in order to reduce unit cost of transportation. Our mission is how we can reduce the logistic cost overall. Another promoter group is Mr. Jai Prakash Bangani. He is basically based in Caleutta. He runs his own NBFC firm and he helps the company in making strategic planning and advice on financial matters. The third promoter group is Mr. Javed Aslam. He is a civil engineer.
//the status as of now for the FY25. The company sufficient order for this year and there is a lot of buoyancy in the scctor comparatively. And we have got orders for special containers like door containers for steel products, 42-fect containers, 40-fect containers for coil and pipe transportation. 
//And in addition, we have got 20-fect containers for enhanced capacity, which arc the side access doors also. So, presently, in last two months, we have got orders of around 80 crores for this financial year for around 2,400 TEUs for this FY. And we are expected to complete these orders by 15 October 2024. 
//And now, we are negotiating for further orders. So this time, we will be purchasing almost 5,000 containers in this FY that is 3,550. So in order to sce the buoyancy in this scctor, the company bas taken advanced steps in increasing the capacity to mest the increased demand of our customers. </t>
    </r>
  </si>
  <si>
    <r>
      <rPr>
        <b/>
        <sz val="11"/>
        <color rgb="FF7030A0"/>
        <rFont val="Calibri"/>
        <family val="2"/>
        <scheme val="minor"/>
      </rPr>
      <t xml:space="preserve">FY24 105Cr(45%) /PAT 13(12.3%)    </t>
    </r>
    <r>
      <rPr>
        <b/>
        <sz val="11"/>
        <color theme="1"/>
        <rFont val="Calibri"/>
        <family val="2"/>
        <scheme val="minor"/>
      </rPr>
      <t xml:space="preserve"> Domestic sales remained strong at INR88.52 crores, while export sales contributed INR16.50 in 2024./ in till june 13 </t>
    </r>
    <r>
      <rPr>
        <b/>
        <u/>
        <sz val="11"/>
        <color rgb="FFFF0000"/>
        <rFont val="Calibri"/>
        <family val="2"/>
        <scheme val="minor"/>
      </rPr>
      <t xml:space="preserve">INR28.8 crores </t>
    </r>
    <r>
      <rPr>
        <b/>
        <sz val="11"/>
        <color theme="1"/>
        <rFont val="Calibri"/>
        <family val="2"/>
        <scheme val="minor"/>
      </rPr>
      <t>out of which around INR20 crores is from Vedanta only. //</t>
    </r>
    <r>
      <rPr>
        <b/>
        <sz val="11"/>
        <color rgb="FF7030A0"/>
        <rFont val="Calibri"/>
        <family val="2"/>
        <scheme val="minor"/>
      </rPr>
      <t>/FY25 131Cr(25%) /PAT 16.25(12.3%)</t>
    </r>
    <r>
      <rPr>
        <b/>
        <sz val="11"/>
        <color theme="1"/>
        <rFont val="Calibri"/>
        <family val="2"/>
        <scheme val="minor"/>
      </rPr>
      <t xml:space="preserve"> //Going forward, we aim to increase our packaging contract revenue to more than 50 percentage in coming year //this year growth we are very confident at least we will do minimum 25 percentage this year and this trend will continue for the next 5 years, 6 years at least 25% year on-year will do. ///This year our top-line guidance is around 25%. So we are expecting to maintain this year on-year basis for the next 5 years. //we have only four contracts with this credential, we are participating in more than five, six big contracts, bigger than Vedanta. So we are very positive that this value will increase substantially in the coming months. //see, </t>
    </r>
    <r>
      <rPr>
        <b/>
        <u/>
        <sz val="11"/>
        <color rgb="FFFF0000"/>
        <rFont val="Calibri"/>
        <family val="2"/>
        <scheme val="minor"/>
      </rPr>
      <t>almost like 70% of our orders are recurring orders</t>
    </r>
    <r>
      <rPr>
        <b/>
        <sz val="11"/>
        <color theme="1"/>
        <rFont val="Calibri"/>
        <family val="2"/>
        <scheme val="minor"/>
      </rPr>
      <t>. We don't have a long-term PO. 
That month-on-month, we get the PO from our clients. And we do have some A)That was our core business in the last two, three years. three verticals: // 1)direct sales of steel scrapping, 2)seals and 3) the scrapping tools. B)separate vertical altogether: 4)</t>
    </r>
    <r>
      <rPr>
        <b/>
        <sz val="11"/>
        <color rgb="FFFF0000"/>
        <rFont val="Calibri"/>
        <family val="2"/>
        <scheme val="minor"/>
      </rPr>
      <t>NEW recently packing contracts.</t>
    </r>
    <r>
      <rPr>
        <b/>
        <sz val="11"/>
        <color theme="1"/>
        <rFont val="Calibri"/>
        <family val="2"/>
        <scheme val="minor"/>
      </rPr>
      <t>//Operating margin, I believe it will be between 15%-20%.</t>
    </r>
  </si>
  <si>
    <r>
      <rPr>
        <b/>
        <u/>
        <sz val="11"/>
        <color rgb="FF7030A0"/>
        <rFont val="Calibri"/>
        <family val="2"/>
        <scheme val="minor"/>
      </rPr>
      <t>FY24 105Cr(45%) /PAT 13.24(12.38%) /</t>
    </r>
    <r>
      <rPr>
        <b/>
        <sz val="11"/>
        <color rgb="FF000000"/>
        <rFont val="Calibri"/>
        <family val="2"/>
        <scheme val="minor"/>
      </rPr>
      <t xml:space="preserve">/Domestic sales remained strong at INR88.52 crores, while export sales contributed INR16.50 
Q3 Krishca :total income of INR76.78 crores in the first nine months of FY'24. /15% of revenue came from exports. 
Q1FY24 24(?%) /PAT 3(%) ,Q2FY24 24Cr(%) /PAT 3(%) 
Q3FY24 27.69Cr(?%) /PAT3.44(12.42%)    EBITDA came at INR5.70 crores
Q4FY24 29.11Cr(5%) /PAT4.12 (14.20%) 
</t>
    </r>
    <r>
      <rPr>
        <b/>
        <u/>
        <sz val="11"/>
        <color rgb="FF002060"/>
        <rFont val="Calibri"/>
        <family val="2"/>
        <scheme val="minor"/>
      </rPr>
      <t xml:space="preserve">Q1FY25 32Cr (%)PAT 4.54(14.2%) </t>
    </r>
    <r>
      <rPr>
        <b/>
        <sz val="11"/>
        <color rgb="FF000000"/>
        <rFont val="Calibri"/>
        <family val="2"/>
        <scheme val="minor"/>
      </rPr>
      <t xml:space="preserve"> ///As of March 2024, our order book stands at INR28.80 crores comprising INR1.39 crores from 
</t>
    </r>
    <r>
      <rPr>
        <b/>
        <sz val="11"/>
        <color rgb="FFFF0000"/>
        <rFont val="Calibri"/>
        <family val="2"/>
        <scheme val="minor"/>
      </rPr>
      <t>strapping contracts</t>
    </r>
    <r>
      <rPr>
        <b/>
        <sz val="11"/>
        <color rgb="FF000000"/>
        <rFont val="Calibri"/>
        <family val="2"/>
        <scheme val="minor"/>
      </rPr>
      <t xml:space="preserve"> and INR27.40 crores from</t>
    </r>
    <r>
      <rPr>
        <b/>
        <sz val="11"/>
        <color rgb="FFFF0000"/>
        <rFont val="Calibri"/>
        <family val="2"/>
        <scheme val="minor"/>
      </rPr>
      <t xml:space="preserve"> packaging contracts</t>
    </r>
    <r>
      <rPr>
        <b/>
        <sz val="11"/>
        <color rgb="FF000000"/>
        <rFont val="Calibri"/>
        <family val="2"/>
        <scheme val="minor"/>
      </rPr>
      <t xml:space="preserve"> (20Cr Vedanta we have a 3 year contract started from this April next 3 years we are having an order. ). //with the full capacity, we can expect up to INR150 crores of revenue from the newly installed production line. //we are participating in various packing contracts, there are various stages in various tenders. Total orders in the pipeline amount to INR300 crores to INR330 crores.//export of around INR34 crores in FY25 //targeting a 25% overall growth this year, including both domestic and export.</t>
    </r>
  </si>
  <si>
    <t>MUFTI //Credo Brands Marketing</t>
  </si>
  <si>
    <r>
      <t>we have added 52 EBO stores and we plan to add another 30 to 40 new stores in FY '25 ///Improved demand and increased foot traffic are anticipated in H2 FY25, driven by the marriages and upcoming festival season.//In Q1 FY25, we added 5 net new stores to our portfolio, increasing our total store count to 430 // Store aim to open between 25-30 new stores during FY25 ///</t>
    </r>
    <r>
      <rPr>
        <b/>
        <sz val="11"/>
        <color rgb="FFFF0000"/>
        <rFont val="Calibri"/>
        <family val="2"/>
        <scheme val="minor"/>
      </rPr>
      <t>In FY25, they target to add an overall 25-30 stores and maintain an SSSG of 3-5%. Also, improved demand and increased foot traffic are anticipated in H2FY25, driven by the marriages and upcoming festival season.</t>
    </r>
  </si>
  <si>
    <t>MUFTI</t>
  </si>
  <si>
    <r>
      <rPr>
        <b/>
        <sz val="11"/>
        <color rgb="FF7030A0"/>
        <rFont val="Calibri"/>
        <family val="2"/>
        <scheme val="minor"/>
      </rPr>
      <t xml:space="preserve">FY25 652(15% Yoy) //PAT 72.38(11.1%) </t>
    </r>
    <r>
      <rPr>
        <sz val="11"/>
        <color theme="1"/>
        <rFont val="Calibri"/>
        <family val="2"/>
        <scheme val="minor"/>
      </rPr>
      <t xml:space="preserve">  Q1FY25 123.89(Yoy) //PAT 9.77(7.89%
FY24 567(13.86% Yoy) //PAT 59(10.41%)
FY23 498//PAT 78(15.66%)</t>
    </r>
  </si>
  <si>
    <t>Q1FY25 321(52%)//PAT 25(7.8%) // FY25 1445(35%)//PAT 115(8%)
FY24 1071(34.89%)//PAT 86(8%)
FY23 794//PAT 48(6%)</t>
  </si>
  <si>
    <r>
      <rPr>
        <b/>
        <sz val="11"/>
        <color rgb="FFC00000"/>
        <rFont val="Calibri"/>
        <family val="2"/>
        <scheme val="minor"/>
      </rPr>
      <t>Acquisition of Valens which would enables us to provide turnkey services• Partial repayment of ARC Debt.• Clocked Rs. 1000 Crore Revenue</t>
    </r>
    <r>
      <rPr>
        <b/>
        <sz val="11"/>
        <color theme="1"/>
        <rFont val="Calibri"/>
        <family val="2"/>
        <scheme val="minor"/>
      </rPr>
      <t xml:space="preserve"> ////Overall, our progress during Q1FY25 has been robust, setting a solid foundation for continued growth
throughout FY25. We remain committed to driving operational efficiencies, expanding our market
presence, and delivering value to our stakeholders. The favorable business environment and increasing
demand across various sectors provide a promising outlook for our company as we navigate the
opportunities and challenges ahead.</t>
    </r>
  </si>
  <si>
    <t>Polyplex wrong PAT in screener</t>
  </si>
  <si>
    <r>
      <t xml:space="preserve">Q1FY25 1686(8%)//PAT 97(5.75%) </t>
    </r>
    <r>
      <rPr>
        <b/>
        <sz val="11"/>
        <color rgb="FFFF0000"/>
        <rFont val="Calibri"/>
        <family val="2"/>
        <scheme val="minor"/>
      </rPr>
      <t xml:space="preserve">PAT (Before Minority)  97Cr </t>
    </r>
    <r>
      <rPr>
        <b/>
        <sz val="11"/>
        <color rgb="FF7030A0"/>
        <rFont val="Calibri"/>
        <family val="2"/>
        <scheme val="minor"/>
      </rPr>
      <t>After Minority 53.52CR/ (3.17%)</t>
    </r>
    <r>
      <rPr>
        <b/>
        <sz val="11"/>
        <color theme="1"/>
        <rFont val="Calibri"/>
        <family val="2"/>
        <scheme val="minor"/>
      </rPr>
      <t xml:space="preserve">/  Q1FY24 1561()//PAT -10(%) </t>
    </r>
    <r>
      <rPr>
        <b/>
        <sz val="11"/>
        <color rgb="FF0070C0"/>
        <rFont val="Calibri"/>
        <family val="2"/>
        <scheme val="minor"/>
      </rPr>
      <t>Q2FY25 1697(8%)//PAT 118(7%)</t>
    </r>
    <r>
      <rPr>
        <b/>
        <sz val="11"/>
        <color theme="1"/>
        <rFont val="Calibri"/>
        <family val="2"/>
        <scheme val="minor"/>
      </rPr>
      <t xml:space="preserve"> // Q2FY24 1572//PAT 48(3%)
Q4FY24 1679()//PAT 31(1.85%) $16M EBITA ==1328M =132.8 CR
</t>
    </r>
    <r>
      <rPr>
        <b/>
        <u/>
        <sz val="11"/>
        <color rgb="FF7030A0"/>
        <rFont val="Calibri"/>
        <family val="2"/>
        <scheme val="minor"/>
      </rPr>
      <t>PAT after minority :60(Q2)+53.52(Q1)+8.42+4.60 =126cr</t>
    </r>
    <r>
      <rPr>
        <b/>
        <sz val="11"/>
        <color theme="1"/>
        <rFont val="Calibri"/>
        <family val="2"/>
        <scheme val="minor"/>
      </rPr>
      <t xml:space="preserve">
</t>
    </r>
    <r>
      <rPr>
        <b/>
        <sz val="11"/>
        <color rgb="FFC00000"/>
        <rFont val="Calibri"/>
        <family val="2"/>
        <scheme val="minor"/>
      </rPr>
      <t>FY25 6811(8%)//PAT 476(7%)</t>
    </r>
    <r>
      <rPr>
        <b/>
        <sz val="11"/>
        <color theme="1"/>
        <rFont val="Calibri"/>
        <family val="2"/>
        <scheme val="minor"/>
      </rPr>
      <t xml:space="preserve">
FY24 6307(-17.58%)//PAT 86(1.36%) $788M
FY23 7652()//PAT 616(8%)</t>
    </r>
  </si>
  <si>
    <t>Expected Start-up – Q4 FY 2024-25 (Film Line &amp; Offline Coater)
◼ Post this investment, Polyplex will be the most cost competitive producer of Thin BOPET films in
the US //Investment in Offline Coater in USA //Total Capex: $132 mm
Short to Medium term outlook
• Recovery in demand in both Industrial and Packaging segments
• Supply overhang is expected to continue for some time
• Continued efforts on portfolio expansion, increase in DPAC sales will help support improvement in margins</t>
  </si>
  <si>
    <t>Poonawalla fin(Screener IS worng)</t>
  </si>
  <si>
    <r>
      <t xml:space="preserve"> Q1FY25 978(41.13%)PAT 292(29.86%)   //FY24 5418 Cr(148% /PAT 1683(31%)  ///</t>
    </r>
    <r>
      <rPr>
        <b/>
        <sz val="11"/>
        <color theme="1"/>
        <rFont val="Calibri"/>
        <family val="2"/>
        <scheme val="minor"/>
      </rPr>
      <t>Currently it is trading at P/B at 3.93x vs 4.33x of 1-year median PB. Being an NBFC the appropriate parameter to consider for the company is P/B.</t>
    </r>
  </si>
  <si>
    <r>
      <t xml:space="preserve">Expected 30x to 35x PE
</t>
    </r>
    <r>
      <rPr>
        <b/>
        <sz val="11"/>
        <color rgb="FFFF0000"/>
        <rFont val="Calibri"/>
        <family val="2"/>
        <scheme val="minor"/>
      </rPr>
      <t>Q1 FY24</t>
    </r>
    <r>
      <rPr>
        <b/>
        <sz val="11"/>
        <color theme="1"/>
        <rFont val="Calibri"/>
        <family val="2"/>
        <scheme val="minor"/>
      </rPr>
      <t xml:space="preserve"> Performance: The company's Assets Under Management (AUM) </t>
    </r>
    <r>
      <rPr>
        <b/>
        <sz val="11"/>
        <color rgb="FFFF0000"/>
        <rFont val="Calibri"/>
        <family val="2"/>
        <scheme val="minor"/>
      </rPr>
      <t>grew by 52% year-on-year, and Profit After Tax (PAT) increased by 46% year-on-year</t>
    </r>
    <r>
      <rPr>
        <b/>
        <sz val="11"/>
        <color theme="1"/>
        <rFont val="Calibri"/>
        <family val="2"/>
        <scheme val="minor"/>
      </rPr>
      <t xml:space="preserve">. However, there </t>
    </r>
    <r>
      <rPr>
        <b/>
        <sz val="11"/>
        <color rgb="FFFF0000"/>
        <rFont val="Calibri"/>
        <family val="2"/>
        <scheme val="minor"/>
      </rPr>
      <t>was pressure</t>
    </r>
    <r>
      <rPr>
        <b/>
        <sz val="11"/>
        <color theme="1"/>
        <rFont val="Calibri"/>
        <family val="2"/>
        <scheme val="minor"/>
      </rPr>
      <t xml:space="preserve"> on Net Interest Margins (NIMs), which </t>
    </r>
    <r>
      <rPr>
        <b/>
        <sz val="11"/>
        <color rgb="FFFF0000"/>
        <rFont val="Calibri"/>
        <family val="2"/>
        <scheme val="minor"/>
      </rPr>
      <t>declined both sequentially and year-on-year.</t>
    </r>
    <r>
      <rPr>
        <b/>
        <sz val="11"/>
        <color theme="1"/>
        <rFont val="Calibri"/>
        <family val="2"/>
        <scheme val="minor"/>
      </rPr>
      <t xml:space="preserve"> This decline was due to a change in product mix and the fact th</t>
    </r>
    <r>
      <rPr>
        <b/>
        <sz val="11"/>
        <color rgb="FFFF0000"/>
        <rFont val="Calibri"/>
        <family val="2"/>
        <scheme val="minor"/>
      </rPr>
      <t>at Q4 was the first quarter</t>
    </r>
    <r>
      <rPr>
        <b/>
        <sz val="11"/>
        <color theme="1"/>
        <rFont val="Calibri"/>
        <family val="2"/>
        <scheme val="minor"/>
      </rPr>
      <t xml:space="preserve"> where the company started onboarding customers outside the co-lending arrangement. Previously, under the co-lending model, Poonawalla Fincorp focused on short-tenor loans. Now, with the direct origination model, the average tenor of personal loans has extended beyond one year, leading to amortization of fees over a longer period.
</t>
    </r>
    <r>
      <rPr>
        <b/>
        <sz val="11"/>
        <color rgb="FF7030A0"/>
        <rFont val="Calibri"/>
        <family val="2"/>
        <scheme val="minor"/>
      </rPr>
      <t>Future Strategy and Management Guidance</t>
    </r>
    <r>
      <rPr>
        <b/>
        <sz val="11"/>
        <color theme="1"/>
        <rFont val="Calibri"/>
        <family val="2"/>
        <scheme val="minor"/>
      </rPr>
      <t xml:space="preserve">: The new </t>
    </r>
    <r>
      <rPr>
        <b/>
        <sz val="11"/>
        <color rgb="FF7030A0"/>
        <rFont val="Calibri"/>
        <family val="2"/>
        <scheme val="minor"/>
      </rPr>
      <t>Managing Director &amp; CEO,</t>
    </r>
    <r>
      <rPr>
        <b/>
        <sz val="11"/>
        <color theme="1"/>
        <rFont val="Calibri"/>
        <family val="2"/>
        <scheme val="minor"/>
      </rPr>
      <t xml:space="preserve"> along with the management team, has outlined a growth strategy focused on scalability by enhancing collections and expanding distribution. They plan to</t>
    </r>
    <r>
      <rPr>
        <b/>
        <sz val="11"/>
        <color rgb="FF7030A0"/>
        <rFont val="Calibri"/>
        <family val="2"/>
        <scheme val="minor"/>
      </rPr>
      <t xml:space="preserve"> double their product offerings</t>
    </r>
    <r>
      <rPr>
        <b/>
        <sz val="11"/>
        <color theme="1"/>
        <rFont val="Calibri"/>
        <family val="2"/>
        <scheme val="minor"/>
      </rPr>
      <t>, with a strong emphasis on risk management. With this strategy in place, the company has guided for a</t>
    </r>
    <r>
      <rPr>
        <b/>
        <sz val="11"/>
        <color rgb="FF7030A0"/>
        <rFont val="Calibri"/>
        <family val="2"/>
        <scheme val="minor"/>
      </rPr>
      <t xml:space="preserve"> 30-35% AUM growth in FY25 and expects a 35-40%</t>
    </r>
    <r>
      <rPr>
        <b/>
        <sz val="11"/>
        <color theme="1"/>
        <rFont val="Calibri"/>
        <family val="2"/>
        <scheme val="minor"/>
      </rPr>
      <t xml:space="preserve"> Compound Annual Growth Rate (CAGR) over the next 5 years, with aspirations to increase AUM by 5-6 times within the next 5-6 years.
Given these factors, </t>
    </r>
    <r>
      <rPr>
        <b/>
        <sz val="11"/>
        <color rgb="FF7030A0"/>
        <rFont val="Calibri"/>
        <family val="2"/>
        <scheme val="minor"/>
      </rPr>
      <t>we believe Poonawalla Fincorp is well-positioned for long-term performance.</t>
    </r>
  </si>
  <si>
    <t xml:space="preserve">POWERMECH </t>
  </si>
  <si>
    <r>
      <rPr>
        <b/>
        <sz val="11"/>
        <color rgb="FF7030A0"/>
        <rFont val="Calibri"/>
        <family val="2"/>
        <scheme val="minor"/>
      </rPr>
      <t>Q1FY25 1007 (16%YoY ) // PAT 62Cr (6.16%) ////FY25 5469(30% Yoy) //PAT 323.77 (5.92%)</t>
    </r>
    <r>
      <rPr>
        <b/>
        <sz val="11"/>
        <color theme="1"/>
        <rFont val="Calibri"/>
        <family val="2"/>
        <scheme val="minor"/>
      </rPr>
      <t xml:space="preserve"> ///FY24 4207(16.83% Yoy) //PAT 249 (5.92%)
FY23 3601(Yoy) //PAT 207 (5.75%)
EBITDA margin 12.37% in FY '24.Expectations for FY '25 ..
</t>
    </r>
    <r>
      <rPr>
        <b/>
        <sz val="11"/>
        <color rgb="FFFF0000"/>
        <rFont val="Calibri"/>
        <family val="2"/>
        <scheme val="minor"/>
      </rPr>
      <t xml:space="preserve">The stock is trading at an EV/EBITDA multiple of 16.74x which is higher than its 5-year median of 14.31x.
The current PE of the company is 35.67x which is higher than the 5-year median PE of the company 14.81x.
</t>
    </r>
  </si>
  <si>
    <r>
      <rPr>
        <b/>
        <sz val="11"/>
        <color rgb="FF7030A0"/>
        <rFont val="Calibri"/>
        <family val="2"/>
        <scheme val="minor"/>
      </rPr>
      <t xml:space="preserve">Order book 740 CR (till 12 AUG -Q2)  </t>
    </r>
    <r>
      <rPr>
        <b/>
        <sz val="11"/>
        <color rgb="FFC00000"/>
        <rFont val="Calibri"/>
        <family val="2"/>
        <scheme val="minor"/>
      </rPr>
      <t xml:space="preserve">
Rev as of FT27  7000 to 8000 /EBITA 12 to 14% PAT 490 to 690 Cr  ..CAGR 3 YRS 22% 
Rs. 57,085 Cr AS ON june 30/
Growth Potential &amp; Opportunities:
</t>
    </r>
    <r>
      <rPr>
        <b/>
        <sz val="11"/>
        <color theme="1"/>
        <rFont val="Calibri"/>
        <family val="2"/>
        <scheme val="minor"/>
      </rPr>
      <t>Mining</t>
    </r>
    <r>
      <rPr>
        <sz val="11"/>
        <color theme="1"/>
        <rFont val="Calibri"/>
        <family val="2"/>
        <scheme val="minor"/>
      </rPr>
      <t xml:space="preserve"> Segment: Two major contracts,</t>
    </r>
    <r>
      <rPr>
        <b/>
        <sz val="11"/>
        <color theme="1"/>
        <rFont val="Calibri"/>
        <family val="2"/>
        <scheme val="minor"/>
      </rPr>
      <t xml:space="preserve"> va</t>
    </r>
    <r>
      <rPr>
        <b/>
        <sz val="11"/>
        <color rgb="FF7030A0"/>
        <rFont val="Calibri"/>
        <family val="2"/>
        <scheme val="minor"/>
      </rPr>
      <t>lued at INR 39,000 crore in</t>
    </r>
    <r>
      <rPr>
        <sz val="11"/>
        <color theme="1"/>
        <rFont val="Calibri"/>
        <family val="2"/>
        <scheme val="minor"/>
      </rPr>
      <t xml:space="preserve"> the mining sector, are expected to start generating revenue from Q3 FY25, with operations projected to peak by the end of FY27. This segment is anticipated to enhance the company’s margin profile.
</t>
    </r>
    <r>
      <rPr>
        <b/>
        <sz val="11"/>
        <color theme="1"/>
        <rFont val="Calibri"/>
        <family val="2"/>
        <scheme val="minor"/>
      </rPr>
      <t>Revenue Growth</t>
    </r>
    <r>
      <rPr>
        <sz val="11"/>
        <color theme="1"/>
        <rFont val="Calibri"/>
        <family val="2"/>
        <scheme val="minor"/>
      </rPr>
      <t>: The company projects a</t>
    </r>
    <r>
      <rPr>
        <b/>
        <sz val="11"/>
        <color theme="1"/>
        <rFont val="Calibri"/>
        <family val="2"/>
        <scheme val="minor"/>
      </rPr>
      <t xml:space="preserve"> </t>
    </r>
    <r>
      <rPr>
        <b/>
        <sz val="11"/>
        <color rgb="FFFF0000"/>
        <rFont val="Calibri"/>
        <family val="2"/>
        <scheme val="minor"/>
      </rPr>
      <t>30% revenue growth in FY25</t>
    </r>
    <r>
      <rPr>
        <sz val="11"/>
        <color theme="1"/>
        <rFont val="Calibri"/>
        <family val="2"/>
        <scheme val="minor"/>
      </rPr>
      <t>, reaching approximately</t>
    </r>
    <r>
      <rPr>
        <b/>
        <sz val="11"/>
        <color rgb="FFFF0000"/>
        <rFont val="Calibri"/>
        <family val="2"/>
        <scheme val="minor"/>
      </rPr>
      <t xml:space="preserve"> INR 5,500 crore,</t>
    </r>
    <r>
      <rPr>
        <sz val="11"/>
        <color theme="1"/>
        <rFont val="Calibri"/>
        <family val="2"/>
        <scheme val="minor"/>
      </rPr>
      <t xml:space="preserve"> and a further 25% growth in FY26, targeting around INR 7,000 crore.
O&amp;M Segment: Power Mech manages over 68,000 MW of domestic and 6,700 MW of overseas power capacity, making this the most profitable division of the company.
Steel Sector Opportunities: The management has highlighted significant opportunities in the steel sector, with companies like NMDC and JSPL planning major expansions, creating potential new avenues for growth.</t>
    </r>
  </si>
  <si>
    <t>QMS (1000 LOT</t>
  </si>
  <si>
    <r>
      <rPr>
        <b/>
        <sz val="11"/>
        <color rgb="FF7030A0"/>
        <rFont val="Calibri"/>
        <family val="2"/>
        <scheme val="minor"/>
      </rPr>
      <t xml:space="preserve">My Projection FY25 Rev 270(?%)/PAT 21.6(8%)  //Q1FY25 30.37(18%)//PAT 2.40(7.90%)
FY24 122(18%)//PAT 9(7.38%)  //  FY23 104(18%)//PAT 6(5.7%)//	</t>
    </r>
    <r>
      <rPr>
        <sz val="11"/>
        <color theme="1"/>
        <rFont val="Calibri"/>
        <family val="2"/>
        <scheme val="minor"/>
      </rPr>
      <t>Q Devices ./2 Camps/ Patient Service Programs. / 3 Medical Equipment Trading /. 4 Continuous Medical Education /Kapil Dev is brand ambassador.  /// Kapil Dev is brand ambassador ///</t>
    </r>
    <r>
      <rPr>
        <b/>
        <sz val="11"/>
        <color rgb="FF7030A0"/>
        <rFont val="Calibri"/>
        <family val="2"/>
        <scheme val="minor"/>
      </rPr>
      <t>Saarthi merger benefit will come in Q2Fy25</t>
    </r>
  </si>
  <si>
    <r>
      <t xml:space="preserve">In FY 25 - 150 cr revenue from existing QMS business. 20 cr additional from saarthi. New business segment of hospitals can generate 100 cr revenues. </t>
    </r>
    <r>
      <rPr>
        <b/>
        <sz val="11"/>
        <color rgb="FF7030A0"/>
        <rFont val="Calibri"/>
        <family val="2"/>
        <scheme val="minor"/>
      </rPr>
      <t>Total target for FY 25 is 270 cr with saarthi and hospitals</t>
    </r>
    <r>
      <rPr>
        <sz val="11"/>
        <color theme="1"/>
        <rFont val="Calibri"/>
        <family val="2"/>
        <scheme val="minor"/>
      </rPr>
      <t>. ●  EBITDA margins would be 15-17% .#QMS FY2024 - Revenue 122 Cr /                       FY2025  - Revenue 270 EBITDA margins would be 15-17% ,FY24 EBITA 15.34%/ PAT was 7.34%</t>
    </r>
  </si>
  <si>
    <r>
      <rPr>
        <b/>
        <sz val="11"/>
        <color rgb="FFC00000"/>
        <rFont val="Calibri"/>
        <family val="2"/>
        <scheme val="minor"/>
      </rPr>
      <t>Q1FY25 260(21.5%)//PAT 45(17.3%)</t>
    </r>
    <r>
      <rPr>
        <b/>
        <sz val="11"/>
        <color theme="9" tint="-0.499984740745262"/>
        <rFont val="Calibri"/>
        <family val="2"/>
        <scheme val="minor"/>
      </rPr>
      <t xml:space="preserve"> ///</t>
    </r>
    <r>
      <rPr>
        <b/>
        <sz val="11"/>
        <color rgb="FFC00000"/>
        <rFont val="Calibri"/>
        <family val="2"/>
        <scheme val="minor"/>
      </rPr>
      <t xml:space="preserve">  FY25 1205(26%)//PAT 242(16%)</t>
    </r>
    <r>
      <rPr>
        <b/>
        <sz val="11"/>
        <color theme="9" tint="-0.499984740745262"/>
        <rFont val="Calibri"/>
        <family val="2"/>
        <scheme val="minor"/>
      </rPr>
      <t xml:space="preserve">
FY26 1518(26%)//PAT 306(16%)
FY27 1912(26%)//PAT 385(16%)
FY24 957(69.38% YOY)//PAT 145(15.15%)  ///        FY24 Sales 957/PAT145
revenue from about a INR1000 crores to INR2000 crores in the next 3 years.// that's about 26% CAGR. So, our aspiration is that this
year also we meet or beat that number. //Organically we sh</t>
    </r>
    <r>
      <rPr>
        <b/>
        <sz val="11"/>
        <color rgb="FF7030A0"/>
        <rFont val="Calibri"/>
        <family val="2"/>
        <scheme val="minor"/>
      </rPr>
      <t>ould do 20% and t</t>
    </r>
    <r>
      <rPr>
        <b/>
        <sz val="11"/>
        <color theme="9" tint="-0.499984740745262"/>
        <rFont val="Calibri"/>
        <family val="2"/>
        <scheme val="minor"/>
      </rPr>
      <t xml:space="preserve">hen given the robust
pipeline that we </t>
    </r>
    <r>
      <rPr>
        <b/>
        <sz val="11"/>
        <color rgb="FF7030A0"/>
        <rFont val="Calibri"/>
        <family val="2"/>
        <scheme val="minor"/>
      </rPr>
      <t>have the rest 6% should come inorganically.</t>
    </r>
    <r>
      <rPr>
        <b/>
        <sz val="11"/>
        <color theme="9" tint="-0.499984740745262"/>
        <rFont val="Calibri"/>
        <family val="2"/>
        <scheme val="minor"/>
      </rPr>
      <t xml:space="preserve"> //t is fully operational at this point of time. Yes, there is still some volume growth that needs to be attained. But I think it will see more, you will see faster growth in FY25. Also, there is more order book and pipeline that is still yet to be monetized in the distribution segment, which
will come in from Q1 onwards. </t>
    </r>
  </si>
  <si>
    <r>
      <t>Ind p/e 36 .2 but mark give valuation high in advance 300Cr Profit F25 //FY25Q1 269.64 SALES  /// My Projection FY25 Rev 1200(26%)/PAT 193(16%) ////</t>
    </r>
    <r>
      <rPr>
        <b/>
        <sz val="11"/>
        <color rgb="FFFF0000"/>
        <rFont val="Calibri"/>
        <family val="2"/>
        <scheme val="minor"/>
      </rPr>
      <t>Thai Airways has announced a multi-year partnership with</t>
    </r>
    <r>
      <rPr>
        <b/>
        <sz val="11"/>
        <color theme="9" tint="-0.499984740745262"/>
        <rFont val="Calibri"/>
        <family val="2"/>
        <scheme val="minor"/>
      </rPr>
      <t xml:space="preserve"> RateGain's AirGain platform. This collaboration aims to enhance Thai Airways' pricing strategies across its domestic and international routes, leveraging its membership in the Star Alliance network.</t>
    </r>
  </si>
  <si>
    <r>
      <rPr>
        <b/>
        <sz val="11"/>
        <color rgb="FFFF0000"/>
        <rFont val="Calibri"/>
        <family val="2"/>
        <scheme val="minor"/>
      </rPr>
      <t>Q1FY25 18.75(%)//PAT 5(26.6%)  ///FY25 114(90%)//PAT 28.5(25%)</t>
    </r>
    <r>
      <rPr>
        <b/>
        <sz val="11"/>
        <color theme="1"/>
        <rFont val="Calibri"/>
        <family val="2"/>
        <scheme val="minor"/>
      </rPr>
      <t xml:space="preserve">
FY24 60(100%)//PAT 18(30%)
FY23 30(%)//PAT -9(%)//Q1 Result OPM improved 36% /REV 18.75Cr is up 70% /Profit 3 times //</t>
    </r>
  </si>
  <si>
    <t>Starting Fy25 with Order book 100% higher than at the start of FY24//</t>
  </si>
  <si>
    <t>ROUTE MOBILE</t>
  </si>
  <si>
    <r>
      <t xml:space="preserve">FY25 4747(18% YOY )//PAT 403(PAT Margin 8.5%)
</t>
    </r>
    <r>
      <rPr>
        <b/>
        <sz val="11"/>
        <color rgb="FF7030A0"/>
        <rFont val="Calibri"/>
        <family val="2"/>
        <scheme val="minor"/>
      </rPr>
      <t xml:space="preserve">Q1FY25 1103(14% YOY )//PAT 81(PAT Margin 7.34%) EBITDA 12.5%
</t>
    </r>
    <r>
      <rPr>
        <b/>
        <sz val="11"/>
        <color theme="1"/>
        <rFont val="Calibri"/>
        <family val="2"/>
        <scheme val="minor"/>
      </rPr>
      <t>FY24 4023(12.7% YOY )//PAT 389(PAT Margin 9.67%)
 Q1FY24 967(% YOY )//PAT 92(PAT Margin 9.5%)
FY23 3569(% YOY )//PAT 333(PAT Margin 9.33%)</t>
    </r>
  </si>
  <si>
    <t xml:space="preserve"> FY '25 guidance, we expect our revenue growth to be in the 18% to 22% band with approximately 13% EBITDA margin. The free cash generation for the business should improve meaningfully during the year and we expect the cash conversion from EBITDA to be within  the 50% to 75% band.///On May 8, 2024, Proximus Opal completed the acquisition of 83.1% stake in Route Mobile With this acquisition, Route Mobile is now a part of the Proximus Group, making Proximus Opal one of the world's largest CPaaS players by messaging volume//The acquisition will help Route Mobile in entering mature markets like the USA and Europe, expanding product portfolio and unlocking synergies with Telesign</t>
  </si>
  <si>
    <t>Sathlokhar Synergys E&amp;C Global Ltd LOT 1000</t>
  </si>
  <si>
    <t>327</t>
  </si>
  <si>
    <r>
      <t xml:space="preserve">FY24:REV 247(184%)/PAT 26(10.53%) 
</t>
    </r>
    <r>
      <rPr>
        <b/>
        <sz val="11"/>
        <color rgb="FFC00000"/>
        <rFont val="Calibri"/>
        <family val="2"/>
        <scheme val="minor"/>
      </rPr>
      <t xml:space="preserve">FY25:REV 358(45%)/PAT 38(10.54%) </t>
    </r>
    <r>
      <rPr>
        <sz val="11"/>
        <color theme="1"/>
        <rFont val="Calibri"/>
        <family val="2"/>
        <scheme val="minor"/>
      </rPr>
      <t xml:space="preserve"> /// BUY AT below PE 30  Management expecting 40 to 50% Growth  in FY25Sathlokhar Synergys E&amp;C Global Limited (Sathlokhar, TheCompany) is an integrated Engineering, Procurement, and Construction (EPC) company, renowned for its comprehensive design and build services across various sectors, including industrial, commercial, institutional, pharmaceutical, solar, healthcare, and hospitality. Operating in Tamil Nadu, Karnataka, Uttar Pradesh, West Bengal &amp; Pondicherry the company manages projects from detailed design and planning through to procurement, engineering, execution, and commissioning.//23 aug 13.33 Crore Company has successfully bagged an Order from AAA Blue Chip Projects Private Limited, 
Coimbatory, for “Construction of factory building for (occupier:  GE Oil &amp; Gas India private Limited) at S.F. Nos. 61/1 &amp; 62/1B, Madukkarai Taluk, Seerapalayam Village, Coimbatore, Tamil Nadu,</t>
    </r>
  </si>
  <si>
    <t>Sathlokhar Synergys E&amp;C Global Ltd</t>
  </si>
  <si>
    <t>AUG 20 :  Order value estimated at INR 62.53 Crore. Delivery completion is expected by December 2024. 
aug 19// Company has successfully bagged an Order from Komatsu India Private Limited, Oragadam, for “Construction of New Warehouse 4200 Sq. M. (approx.) and the MEP work associated with the same//Total Order value is estimated at INR 20.17 Crore (including GST) Delivery Completion is March 2025</t>
  </si>
  <si>
    <t>SHREEOSFM  BUY 145</t>
  </si>
  <si>
    <t xml:space="preserve">CASH 55 CR so MRK cap would be 200CR </t>
  </si>
  <si>
    <t>SHREEOSFM LOT 1000</t>
  </si>
  <si>
    <r>
      <rPr>
        <b/>
        <sz val="11"/>
        <color rgb="FF7030A0"/>
        <rFont val="Calibri"/>
        <family val="2"/>
        <scheme val="minor"/>
      </rPr>
      <t>Q1FY25 ?(%)//PAT ?(%)</t>
    </r>
    <r>
      <rPr>
        <b/>
        <sz val="11"/>
        <color theme="1"/>
        <rFont val="Calibri"/>
        <family val="2"/>
        <scheme val="minor"/>
      </rPr>
      <t xml:space="preserve">
</t>
    </r>
    <r>
      <rPr>
        <b/>
        <sz val="11"/>
        <color rgb="FF7030A0"/>
        <rFont val="Calibri"/>
        <family val="2"/>
        <scheme val="minor"/>
      </rPr>
      <t>FY25 165(40%)//PAT 10.74(6.5%)</t>
    </r>
    <r>
      <rPr>
        <b/>
        <sz val="11"/>
        <color theme="1"/>
        <rFont val="Calibri"/>
        <family val="2"/>
        <scheme val="minor"/>
      </rPr>
      <t xml:space="preserve">
FY24 118(44%)//PAT 8(6.78%)
FY23 82(?%)//PAT 3(3.66%)</t>
    </r>
  </si>
  <si>
    <t>Q1FY25 Rev 3816(16%)/PAT 354(8%)  ///As of Q1FY25, specialized products contributed 15.1% of Star Health’s total retail health GWP. The specialized products include the Star Cancer Care Policy, Star Cardiac Care Policy, Star Diabetes Safe Policy, Star Senior Citizens Red Carpet Health Insurance Policy, Young Star Policy, and Women Care Policy.
As of Q1FY25, they have a 31% market share in the retail health segment which has consistently increased over the years from 23% in FY18.
In terms of distribution network, they operate on agency, bancassurance, and digital channels. Their agency channel is the largest in the SAHI segment with ~7,18,100 agents as of Q1FY25 wherein they have added ~75,000 new agents in the last year.  Also, they have an extensive network of 887 branches and 14,340 network hospitals as of Q1FY25. Also, they have their renewal rate at 92.8% as of Q1FY25 in spite of price hikes undertaken by them in their Star Health Optima product of ~20% effective 01 May 2023, though there is some slight moderation in the same. They further plan to take price hikes in the range of 10-15% in other 2 major products.
They have agreement with network hospitals wherein they get discounted rates for settlement with hospitals.
They have a diversified distribution mix with the main focus on agency business which is the key growth driver. As of Q1FY25, the channel mix stands at Individual agents: 80%, Digital – 7%, Corporate Agents – 5%, Banca – 8%). They are focusing majorly on bancassurance and digital channel with majority of the technology investments being focused there currently. In terms of their digital channel, ~INR 970 crores of GWP has been acquired from online channels.</t>
  </si>
  <si>
    <r>
      <t xml:space="preserve">FY24 14021Cr PAT 845 OR FY24 15251 Cr PAT 845     ///   FY24 15251 Cr (16%)/PAT 845(6%) 
</t>
    </r>
    <r>
      <rPr>
        <b/>
        <sz val="11"/>
        <color rgb="FF7030A0"/>
        <rFont val="Calibri"/>
        <family val="2"/>
        <scheme val="minor"/>
      </rPr>
      <t>FY25 17844 Cr (17%) PAT 1249(7%)</t>
    </r>
    <r>
      <rPr>
        <b/>
        <sz val="11"/>
        <color theme="1"/>
        <rFont val="Calibri"/>
        <family val="2"/>
        <scheme val="minor"/>
      </rPr>
      <t xml:space="preserve">
FY26 21056 Cr (18%) PAT 1474(8%)
FY27 25057 Cr (19%) PAT 2005(8%)
FY28 29818 or 30000 Cr(19%) /PAT 2535 Cr (8.5%) ///In Q1FY25, Gross Written Premium grew by 18% YoY, and Net premium earned grew by 16% YoY. Overall, PAT increased by 10.7% on YoY basis. Added ~75,000 new agents in last one year. Underwriting profits declined by 3.4% YoY led by increased commission expenses. Their combined ratio increased by 1.4% YoY and stood at 99.2%, but the management is confident of keeping their combined ratios in line with guidance in FY25. Increase in combined ratios was on account of few infectious diseases in the month of May-2024.</t>
    </r>
  </si>
  <si>
    <t>TECHNOE(pe WRONG IN Screener)</t>
  </si>
  <si>
    <r>
      <rPr>
        <b/>
        <sz val="11"/>
        <color rgb="FFC00000"/>
        <rFont val="Arial"/>
        <family val="2"/>
      </rPr>
      <t>Q1FY25 375(36.86%)//PAT 98(26.13%)</t>
    </r>
    <r>
      <rPr>
        <b/>
        <sz val="11"/>
        <color theme="1"/>
        <rFont val="Arial"/>
        <family val="2"/>
      </rPr>
      <t xml:space="preserve">
Q1FY24 274()//PAT 25(9.12%) //My Projection FY25 Rev 2553(70%)/PAT 460(18%)</t>
    </r>
  </si>
  <si>
    <t>THOMASCOTT</t>
  </si>
  <si>
    <t>Q1FY25  27.34(5 % YoY) PAT 1.39 (5%)
FY24 90Cr(45%) PAT 10(11.11%)
FY23 62Cr PAT 3 (4.84%)</t>
  </si>
  <si>
    <t>Tinna(UC5%)</t>
  </si>
  <si>
    <r>
      <rPr>
        <b/>
        <sz val="11"/>
        <color rgb="FFC00000"/>
        <rFont val="Calibri"/>
        <family val="2"/>
        <scheme val="minor"/>
      </rPr>
      <t>Q1FY25 REV 136(70% growth)// PAT 16(</t>
    </r>
    <r>
      <rPr>
        <b/>
        <sz val="11"/>
        <color rgb="FFFF0000"/>
        <rFont val="Calibri"/>
        <family val="2"/>
        <scheme val="minor"/>
      </rPr>
      <t>11.76</t>
    </r>
    <r>
      <rPr>
        <b/>
        <sz val="11"/>
        <color rgb="FFC00000"/>
        <rFont val="Calibri"/>
        <family val="2"/>
        <scheme val="minor"/>
      </rPr>
      <t xml:space="preserve">%) </t>
    </r>
    <r>
      <rPr>
        <b/>
        <sz val="11"/>
        <color rgb="FFFF0000"/>
        <rFont val="Calibri"/>
        <family val="2"/>
        <scheme val="minor"/>
      </rPr>
      <t>3% is Less from Q4.</t>
    </r>
    <r>
      <rPr>
        <b/>
        <sz val="11"/>
        <color rgb="FFC00000"/>
        <rFont val="Calibri"/>
        <family val="2"/>
        <scheme val="minor"/>
      </rPr>
      <t xml:space="preserve">          
//FY25 Rev 500 (35% growth) // EBITDA margins of 18% /PAT 60(12%) // </t>
    </r>
    <r>
      <rPr>
        <b/>
        <sz val="11"/>
        <color theme="1"/>
        <rFont val="Calibri"/>
        <family val="2"/>
        <scheme val="minor"/>
      </rPr>
      <t>FY26 REV 675 (35% growth) //PAT 80(12%)
//FY27 REV 900 (35% growth) // PAT 110 (12%)</t>
    </r>
    <r>
      <rPr>
        <sz val="11"/>
        <color theme="1"/>
        <rFont val="Calibri"/>
        <family val="2"/>
        <scheme val="minor"/>
      </rPr>
      <t xml:space="preserve">  //</t>
    </r>
    <r>
      <rPr>
        <b/>
        <sz val="11"/>
        <color rgb="FFFF0000"/>
        <rFont val="Calibri"/>
        <family val="2"/>
        <scheme val="minor"/>
      </rPr>
      <t xml:space="preserve">/ Q4FY24:REV 110 /PAT 16(14.55%)  // FY24:REV 363(%)/PAT 40(11%) </t>
    </r>
    <r>
      <rPr>
        <sz val="11"/>
        <color theme="1"/>
        <rFont val="Calibri"/>
        <family val="2"/>
        <scheme val="minor"/>
      </rPr>
      <t xml:space="preserve">    ////CapEx of anywhere between INR 30 crores to INR 40 crores in FY25 ////</t>
    </r>
    <r>
      <rPr>
        <b/>
        <sz val="11"/>
        <color rgb="FFC00000"/>
        <rFont val="Calibri"/>
        <family val="2"/>
        <scheme val="minor"/>
      </rPr>
      <t>Our earning guidance for FY '25, we have already mentioned in our earlier call is INR 500 crores</t>
    </r>
    <r>
      <rPr>
        <sz val="11"/>
        <color theme="1"/>
        <rFont val="Calibri"/>
        <family val="2"/>
        <scheme val="minor"/>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r>
      <rPr>
        <b/>
        <sz val="11"/>
        <color rgb="FF7030A0"/>
        <rFont val="Calibri"/>
        <family val="2"/>
        <scheme val="minor"/>
      </rPr>
      <t>48 crores has been planned towards the CAPEX expenditure in FY 25.INR 28 crores have already been approved and the works are progressing as follows:</t>
    </r>
    <r>
      <rPr>
        <b/>
        <sz val="11"/>
        <color rgb="FF002060"/>
        <rFont val="Calibri"/>
        <family val="2"/>
        <scheme val="minor"/>
      </rPr>
      <t>//Solar plant set up at Wada and Varle are in the commissioning stage and will be ready within Q2.• Increase in crumbing capacity at Varle which shall be operational by Q3.• MRP capacity expansion at Gummidipoondi, Chennai which shall be operational within Q2.• Power load enhancement at Gummidipoondi , Chennai.• Building and infrastructure development at Varle which shall be ready by Q3</t>
    </r>
  </si>
  <si>
    <r>
      <rPr>
        <sz val="11"/>
        <color rgb="FF000000"/>
        <rFont val="Calibri"/>
        <family val="2"/>
        <scheme val="minor"/>
      </rPr>
      <t>The company anticipates a revenue of INR 500 crores for FY25 and aims to achieve INR 900 crores by FY27/////The EPR policy was notified in July 2022.Tyre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i</t>
    </r>
    <r>
      <rPr>
        <b/>
        <sz val="11"/>
        <color rgb="FF7030A0"/>
        <rFont val="Calibri"/>
        <family val="2"/>
        <scheme val="minor"/>
      </rPr>
      <t xml:space="preserve">ncludes Rs.10.53cr  towards sale of Extended Producer Responsibility credits(EPR). </t>
    </r>
    <r>
      <rPr>
        <sz val="11"/>
        <color rgb="FF000000"/>
        <rFont val="Calibri"/>
        <family val="2"/>
        <scheme val="minor"/>
      </rPr>
      <t xml:space="preserve">To reiterate, it is our aim to reach revenues </t>
    </r>
    <r>
      <rPr>
        <b/>
        <sz val="11"/>
        <color rgb="FFC00000"/>
        <rFont val="Calibri"/>
        <family val="2"/>
        <scheme val="minor"/>
      </rPr>
      <t>of INR 900 crores by FY27 (Fy24 Rev 363) and achieve EBITDA margins of 18%</t>
    </r>
    <r>
      <rPr>
        <sz val="11"/>
        <color rgb="FF000000"/>
        <rFont val="Calibri"/>
        <family val="2"/>
        <scheme val="minor"/>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Calibri"/>
        <family val="2"/>
        <scheme val="minor"/>
      </rPr>
      <t xml:space="preserve">EPR </t>
    </r>
    <r>
      <rPr>
        <sz val="11"/>
        <color rgb="FF000000"/>
        <rFont val="Calibri"/>
        <family val="2"/>
        <scheme val="minor"/>
      </rPr>
      <t xml:space="preserve">units. We have some remaining over FY '23 as well. And what we have generated in FY '24 and </t>
    </r>
    <r>
      <rPr>
        <b/>
        <sz val="11"/>
        <color rgb="FFC00000"/>
        <rFont val="Calibri"/>
        <family val="2"/>
        <scheme val="minor"/>
      </rPr>
      <t>we will generate in FY '25,</t>
    </r>
    <r>
      <rPr>
        <sz val="11"/>
        <color rgb="FF000000"/>
        <rFont val="Calibri"/>
        <family val="2"/>
        <scheme val="minor"/>
      </rPr>
      <t xml:space="preserve"> It's an ongoing process depending on supply and demand. As we see an opportunity, we will monetize.</t>
    </r>
  </si>
  <si>
    <t>Vinsys IT Services India (500 lot)</t>
  </si>
  <si>
    <r>
      <rPr>
        <b/>
        <sz val="11"/>
        <color rgb="FF7030A0"/>
        <rFont val="Calibri"/>
        <family val="2"/>
        <scheme val="minor"/>
      </rPr>
      <t>Q1FY25 51.75(15%)//PAT 8.8Cr(17%)</t>
    </r>
    <r>
      <rPr>
        <b/>
        <sz val="11"/>
        <color rgb="FFFF0000"/>
        <rFont val="Calibri"/>
        <family val="2"/>
        <scheme val="minor"/>
      </rPr>
      <t xml:space="preserve">  // FY25 195(15%)//PAT 33 (17%)</t>
    </r>
    <r>
      <rPr>
        <b/>
        <sz val="11"/>
        <color theme="1"/>
        <rFont val="Calibri"/>
        <family val="2"/>
        <scheme val="minor"/>
      </rPr>
      <t xml:space="preserve">
6 Month March </t>
    </r>
    <r>
      <rPr>
        <b/>
        <sz val="11"/>
        <color rgb="FFFF0000"/>
        <rFont val="Calibri"/>
        <family val="2"/>
        <scheme val="minor"/>
      </rPr>
      <t>FY24 91(15.19%)//PAT 15(16.48%) --&gt;Q4FY24 45(%)//PAT 7.5(%)</t>
    </r>
    <r>
      <rPr>
        <b/>
        <sz val="11"/>
        <color theme="1"/>
        <rFont val="Calibri"/>
        <family val="2"/>
        <scheme val="minor"/>
      </rPr>
      <t xml:space="preserve">
6 Month Sept FY23 79(%)//PAT 8(10.13%) --&gt;Q1FY24 40(%)//PAT 4(%)
FY24 170(78.95%)//PAT 23(13.53%)
FY23 95(%)//PAT 15(15.79%)</t>
    </r>
  </si>
  <si>
    <t>Vinsys IT Services India BUY PE 20 / 325</t>
  </si>
  <si>
    <t>Vinsys is a prominent global service provider, that excels in delivering a comprehensive array of professional services spanning Technical &amp; Business Training, IT Development &amp; Software Solutions, Foreign Language Services, Digital Learning, Resourcing &amp; Recruitment, and Consulting.</t>
  </si>
  <si>
    <r>
      <t xml:space="preserve">100CR CASH SO MRK CAP would  be 472 CR , Q1FY25 125Cr(% YOY )//PAT 7Cr(PAT Margin 5.6%) /// </t>
    </r>
    <r>
      <rPr>
        <b/>
        <sz val="11"/>
        <color rgb="FFFF0000"/>
        <rFont val="Calibri"/>
        <family val="2"/>
        <scheme val="minor"/>
      </rPr>
      <t>FY25 535(30% YOY )//PAT 30Cr(PAT Margin 5.6%) OR PAT 5.85%</t>
    </r>
    <r>
      <rPr>
        <b/>
        <sz val="11"/>
        <color theme="1"/>
        <rFont val="Calibri"/>
        <family val="2"/>
        <scheme val="minor"/>
      </rPr>
      <t xml:space="preserve">
FY24 411(64.4% YOY )//PAT 23.22Cr(PAT Margin 5.6%)  [Q1FY24 96(YOY )+Q1FY24 96(YOY ) + Q3FY24 110(YOY )+Q4FY24 110(YOY ) ]
FY23 250(% YOY )//PAT 10Cr(PAT Margin 4%)</t>
    </r>
  </si>
  <si>
    <r>
      <t xml:space="preserve">Panning to reach 2000Cr till 2030 //If you talk about corporate car rental industry, it is at INR375 billion and the growth in this segment will be tremendous and we feel as per the studies that we got that this will go up to INR700 billion by 2030. Employee transportation will get slower, but the market size of employee transportation is pretty large at an INR3,000 billion, which will increase at around 5.34%.//We have a good presence across the value chain, whether we talk about car rental, we talk about employee transportation, doing a complete managed services or managing projects at various sites. In terms of healthy financials, we are getting a growth of around 37 year-on-year since the inception of the organisation and we have pretty strong reserves and surpluses as of now.//I think this is for the sake of reputation, but I'll still repeat, corporate car rental market is at a market size of around INR375 billion and poised for a phenomenal growth//, </t>
    </r>
    <r>
      <rPr>
        <b/>
        <sz val="11"/>
        <color rgb="FFFF0000"/>
        <rFont val="Calibri"/>
        <family val="2"/>
        <scheme val="minor"/>
      </rPr>
      <t>we have around 50 lakh vehicles</t>
    </r>
    <r>
      <rPr>
        <sz val="11"/>
        <color theme="1"/>
        <rFont val="Calibri"/>
        <family val="2"/>
        <scheme val="minor"/>
      </rPr>
      <t xml:space="preserve"> which are registered as commercial vehicles and similarly the same kind of vehicles are registered as private but are doing the commercial job. </t>
    </r>
  </si>
  <si>
    <t>Ztech(1200 lot)</t>
  </si>
  <si>
    <r>
      <rPr>
        <b/>
        <sz val="11"/>
        <color rgb="FF7030A0"/>
        <rFont val="Calibri"/>
        <family val="2"/>
        <scheme val="minor"/>
      </rPr>
      <t>Q1FY25 16.23(50.84%)//PAT 2.35(14.4%)  ///FY25 120(50%)//PAT 20(12%) Q4FY24 22.1(%)//PAT 2.69(PAT Margin14.4%)</t>
    </r>
    <r>
      <rPr>
        <b/>
        <sz val="11"/>
        <color theme="1"/>
        <rFont val="Calibri"/>
        <family val="2"/>
        <scheme val="minor"/>
      </rPr>
      <t xml:space="preserve">
FY24 67.3(161%)//PAT 7.8(11.59%)  ///FY23 25.73(18%)//PAT 1.96(14%)  ////The management has guided 60% - 70% CAGR growth in the next three years  Along with this they expect 70% - 100% growth in their revenue and multifold jump in their PAT margins.//s I mentioned, our real work of construction starts in more of post rainy season. We also see significant footfall upside also in the second half of the year. We also see more of a revenue share coming in also in the second half of the year. So, we are more than sure about numbers which we need to achieve this year.</t>
    </r>
  </si>
  <si>
    <t>Ztech BUY PE 55</t>
  </si>
  <si>
    <t>OCT 9th : World Park 11Cr new project , Asset Light model // 6 Theme Parks Developed// 15 Upcoming Theme Parks//75+Team Size //55+Clients//30+Completed Projects//49+ Ongoing Projects//145 Cr Worth Total Order Book//FY24 ROE – 39.12% ROCE – 36.88%
Business Segments :Sustainable Theme Park Development // Industrial Waste Water Management //Geo Technical Specialized Solutions
Dedicated lab for technology development and customization// Tie-ups with analytical laboratories across India
Strong presence in more than 20 states across India //Majority of the revenue come from North India
2024 :Listing of shares on NSE-Emerge//Happiness park opened in Lucknow</t>
  </si>
  <si>
    <t>ZEN technology BUY 70 PE</t>
  </si>
  <si>
    <r>
      <rPr>
        <b/>
        <sz val="11"/>
        <color rgb="FFFF0000"/>
        <rFont val="Calibri"/>
        <family val="2"/>
        <scheme val="minor"/>
      </rPr>
      <t>Q1Fy25 zen Sales 257CR (92%) PAT 79.46cr(31%) /// FY25 Rev 900(70%)/PAT 225(25%)</t>
    </r>
    <r>
      <rPr>
        <b/>
        <sz val="11"/>
        <color theme="1"/>
        <rFont val="Calibri"/>
        <family val="2"/>
        <scheme val="minor"/>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r>
      <rPr>
        <b/>
        <sz val="11"/>
        <color rgb="FF7030A0"/>
        <rFont val="Calibri"/>
        <family val="2"/>
        <scheme val="minor"/>
      </rPr>
      <t>/900 cr revenue for FY2025 ~35% EBITDA Margin and ~25% PAT margin Don’t look at Quarters but the whole year as product mix may change and execution could be lumpy Have healthy enquiries for both their businesses i.e. Simulators and Anti Drone</t>
    </r>
  </si>
  <si>
    <t>Phoenix Mills</t>
  </si>
  <si>
    <t>V2RETAIL</t>
  </si>
  <si>
    <t>WSTCSTPAPR</t>
  </si>
  <si>
    <t>My Projection FY25 Rev 250(65%)/PAT 30(12%)
AVP Infracon Secures ₹ 23.6 Cr for Bagalur Bypass and ₹ 47.2 Cr for Kallakurichi-Tiruvannamalai Road Projects</t>
  </si>
  <si>
    <r>
      <rPr>
        <b/>
        <sz val="11"/>
        <color rgb="FF7030A0"/>
        <rFont val="Arial"/>
        <family val="2"/>
      </rPr>
      <t xml:space="preserve">FY25 652(15% Yoy) //PAT 72.38(11.1%) </t>
    </r>
    <r>
      <rPr>
        <sz val="11"/>
        <color theme="1"/>
        <rFont val="Arial"/>
        <family val="2"/>
      </rPr>
      <t xml:space="preserve">  Q1FY25 123.89(Yoy) //PAT 9.77(7.89%
FY24 567(13.86% Yoy) //PAT 59(10.41%)
FY23 498//PAT 78(15.66%)</t>
    </r>
  </si>
  <si>
    <t>DDev Plastiks Industries</t>
  </si>
  <si>
    <t xml:space="preserve"> since 1977 with a niche as a quality polymer compounder//the group has culminated a status of the largest manufacturer of specialty compounds in India//ambitious revenue target of INR 5,000 crores by FY2030//stable Government at the center and a strong emphasis on renewables and green energy in the Union Budget of July '24, we anticipate a considerable opportunity in the wire and cable sector. This will create a positive ripple effect benefiting both the sector and Ddev Plastiks as approximately 79% of our revenues is derived from this sector. //On the CAPEX front, Ddev Plastiks plans to invest 300 crores over the next 3 years with 125 crores allocated for Financial Year ‘25.we anticipate continuous growth in the same trajectory revenues with a CAGR of at least 12% to 15% over the next 5 years.  //We further reduce our finance costs in the quarter by 38% year-on-year basis to 4.49 odd crores.  //EBITA  in the range of 10% to 12% OR 11%, 11.5% max.  </t>
  </si>
  <si>
    <r>
      <t xml:space="preserve">Q1FY25 625(%)//PAT 42(PAT Margin 6.72%)EBITDA 65CR(Margin 10%)// </t>
    </r>
    <r>
      <rPr>
        <b/>
        <sz val="11"/>
        <color rgb="FFC00000"/>
        <rFont val="Arial"/>
        <family val="2"/>
      </rPr>
      <t>FY25 2759(13.5%)//PAT 207(7.5%) EBITDA Margin 10%</t>
    </r>
    <r>
      <rPr>
        <b/>
        <sz val="11"/>
        <color theme="1"/>
        <rFont val="Arial"/>
        <family val="2"/>
      </rPr>
      <t xml:space="preserve">
FY24 2431(-2.92%)//PAT 182(7.5%)
FY23 2504(%)//PAT 104(4.15%)</t>
    </r>
  </si>
  <si>
    <r>
      <rPr>
        <b/>
        <sz val="11"/>
        <color rgb="FFC00000"/>
        <rFont val="Arial"/>
        <family val="2"/>
      </rPr>
      <t xml:space="preserve">My Projection FY25 Rev 6110(12%)/PAT 1161(19%)  ///Q1FY25 1342(1.21%)//PAT 287(21.39%)
Q1FY24 1326(%)//PAT 231(14%)  </t>
    </r>
    <r>
      <rPr>
        <b/>
        <sz val="11"/>
        <color theme="1"/>
        <rFont val="Arial"/>
        <family val="2"/>
      </rPr>
      <t xml:space="preserve">  COMMENCE OPERATIONS OF A NEW STEEL PLANT FROM FY25 //new steel plant, the Company will join the league of primary steel producer although we are currently a secondary steel producer.  /</t>
    </r>
    <r>
      <rPr>
        <b/>
        <sz val="11"/>
        <color rgb="FFC00000"/>
        <rFont val="Arial"/>
        <family val="2"/>
      </rPr>
      <t>////For Q1, the market has definitely gone up</t>
    </r>
    <r>
      <rPr>
        <b/>
        <sz val="11"/>
        <color theme="1"/>
        <rFont val="Arial"/>
        <family val="2"/>
      </rPr>
      <t xml:space="preserve"> because there has been a certain demand for finished steel post Holi and people are quite bullish going forward. So, </t>
    </r>
    <r>
      <rPr>
        <b/>
        <sz val="11"/>
        <color rgb="FFC00000"/>
        <rFont val="Arial"/>
        <family val="2"/>
      </rPr>
      <t>prices are almost 10% up</t>
    </r>
    <r>
      <rPr>
        <b/>
        <sz val="11"/>
        <color theme="1"/>
        <rFont val="Arial"/>
        <family val="2"/>
      </rPr>
      <t xml:space="preserve">  compared to Q4 versus Q1 of FY25 across the chain. Be it iron ore pellet, be it DRI, be it billets, or be it finished steel. So, prices are almost 10% up across the chain post Holi, which is so Q4 versus Q1, </t>
    </r>
    <r>
      <rPr>
        <b/>
        <sz val="11"/>
        <color rgb="FFC00000"/>
        <rFont val="Arial"/>
        <family val="2"/>
      </rPr>
      <t xml:space="preserve">you can expect 10% higher price variation. </t>
    </r>
  </si>
  <si>
    <r>
      <rPr>
        <b/>
        <u/>
        <sz val="11"/>
        <color rgb="FF0070C0"/>
        <rFont val="Arial"/>
        <family val="2"/>
      </rPr>
      <t>FY25 628(25%Yoy Q) //PAT 63(10%)</t>
    </r>
    <r>
      <rPr>
        <b/>
        <sz val="11"/>
        <color theme="1"/>
        <rFont val="Arial"/>
        <family val="2"/>
      </rPr>
      <t xml:space="preserve">
Q1FY25 82.15 (</t>
    </r>
    <r>
      <rPr>
        <b/>
        <sz val="11"/>
        <color rgb="FFFF0000"/>
        <rFont val="Arial"/>
        <family val="2"/>
      </rPr>
      <t>-11.88%</t>
    </r>
    <r>
      <rPr>
        <b/>
        <sz val="11"/>
        <color theme="1"/>
        <rFont val="Arial"/>
        <family val="2"/>
      </rPr>
      <t xml:space="preserve">Yoy Q)//PAT 5.91 (7.19%)
Q4FY24 174.71 (25%Yoy Q) //PAT 25.57 (14.64%)
Q3FY24 139.47 (Yoy Q) //PAT 10.68 (7.66%)
Q1FY24 93.22 (Yoy Q) //PAT 3.54 (3.80%)
</t>
    </r>
    <r>
      <rPr>
        <b/>
        <sz val="11"/>
        <color rgb="FF7030A0"/>
        <rFont val="Arial"/>
        <family val="2"/>
      </rPr>
      <t>FY24 503 (25.58%Yoy Q) //PAT 47 (9.34%)</t>
    </r>
    <r>
      <rPr>
        <b/>
        <sz val="11"/>
        <color theme="1"/>
        <rFont val="Arial"/>
        <family val="2"/>
      </rPr>
      <t xml:space="preserve">
FY23 371 (Yoy Q) //PAT 26 (3.80%)</t>
    </r>
  </si>
  <si>
    <r>
      <t xml:space="preserve">Q1FY25 1686(8%)//PAT 97(5.75%) </t>
    </r>
    <r>
      <rPr>
        <b/>
        <sz val="11"/>
        <color rgb="FFFF0000"/>
        <rFont val="Arial"/>
        <family val="2"/>
      </rPr>
      <t xml:space="preserve">PAT (Before Minority)  97Cr </t>
    </r>
    <r>
      <rPr>
        <b/>
        <sz val="11"/>
        <color rgb="FF7030A0"/>
        <rFont val="Arial"/>
        <family val="2"/>
      </rPr>
      <t>After Minority 53.52CR/ (3.17%)</t>
    </r>
    <r>
      <rPr>
        <b/>
        <sz val="11"/>
        <color theme="1"/>
        <rFont val="Arial"/>
        <family val="2"/>
      </rPr>
      <t xml:space="preserve">/  Q1FY24 1561()//PAT -10(%) </t>
    </r>
    <r>
      <rPr>
        <b/>
        <sz val="11"/>
        <color rgb="FF0070C0"/>
        <rFont val="Arial"/>
        <family val="2"/>
      </rPr>
      <t>Q2FY25 1697(8%)//PAT 118(7%)</t>
    </r>
    <r>
      <rPr>
        <b/>
        <sz val="11"/>
        <color theme="1"/>
        <rFont val="Arial"/>
        <family val="2"/>
      </rPr>
      <t xml:space="preserve"> // Q2FY24 1572//PAT 48(3%)
Q4FY24 1679()//PAT 31(1.85%) $16M EBITA ==1328M =132.8 CR
</t>
    </r>
    <r>
      <rPr>
        <b/>
        <u/>
        <sz val="11"/>
        <color rgb="FF7030A0"/>
        <rFont val="Arial"/>
        <family val="2"/>
      </rPr>
      <t>PAT after minority :60(Q2)+53.52(Q1)+8.42+4.60 =126cr</t>
    </r>
    <r>
      <rPr>
        <b/>
        <sz val="11"/>
        <color theme="1"/>
        <rFont val="Arial"/>
        <family val="2"/>
      </rPr>
      <t xml:space="preserve">
</t>
    </r>
    <r>
      <rPr>
        <b/>
        <sz val="11"/>
        <color rgb="FFC00000"/>
        <rFont val="Arial"/>
        <family val="2"/>
      </rPr>
      <t>FY25 6811(8%)//PAT 476(7%)</t>
    </r>
    <r>
      <rPr>
        <b/>
        <sz val="11"/>
        <color theme="1"/>
        <rFont val="Arial"/>
        <family val="2"/>
      </rPr>
      <t xml:space="preserve">
FY24 6307(-17.58%)//PAT 86(1.36%) $788M
FY23 7652()//PAT 616(8%)</t>
    </r>
  </si>
  <si>
    <r>
      <rPr>
        <b/>
        <sz val="11"/>
        <color rgb="FF7030A0"/>
        <rFont val="Arial"/>
        <family val="2"/>
      </rPr>
      <t xml:space="preserve">My Projection FY25 Rev 270(?%)/PAT 21.6(8%)  //Q1FY25 30.37(18%)//PAT 2.40(7.90%)
FY24 122(18%)//PAT 9(7.38%)  //  FY23 104(18%)//PAT 6(5.7%)//	</t>
    </r>
    <r>
      <rPr>
        <sz val="11"/>
        <color theme="1"/>
        <rFont val="Arial"/>
        <family val="2"/>
      </rPr>
      <t>Q Devices ./2 Camps/ Patient Service Programs. / 3 Medical Equipment Trading /. 4 Continuous Medical Education /Kapil Dev is brand ambassador.  /// Kapil Dev is brand ambassador ///</t>
    </r>
    <r>
      <rPr>
        <b/>
        <sz val="11"/>
        <color rgb="FF7030A0"/>
        <rFont val="Arial"/>
        <family val="2"/>
      </rPr>
      <t>Saarthi merger benefit will come in Q2Fy25</t>
    </r>
  </si>
  <si>
    <r>
      <t xml:space="preserve">In FY 25 - 150 cr revenue from existing QMS business. 20 cr additional from saarthi. New business segment of hospitals can generate 100 cr revenues. </t>
    </r>
    <r>
      <rPr>
        <b/>
        <sz val="11"/>
        <color rgb="FF7030A0"/>
        <rFont val="Arial"/>
        <family val="2"/>
      </rPr>
      <t>Total target for FY 25 is 270 cr with saarthi and hospitals</t>
    </r>
    <r>
      <rPr>
        <sz val="11"/>
        <color theme="1"/>
        <rFont val="Arial"/>
        <family val="2"/>
      </rPr>
      <t>. ●  EBITDA margins would be 15-17% .#QMS FY2024 - Revenue 122 Cr /                       FY2025  - Revenue 270 EBITDA margins would be 15-17% ,FY24 EBITA 15.34%/ PAT was 7.34%</t>
    </r>
  </si>
  <si>
    <r>
      <t xml:space="preserve">FY25 4747(18% YOY )//PAT 403(PAT Margin 8.5%)
</t>
    </r>
    <r>
      <rPr>
        <b/>
        <sz val="11"/>
        <color rgb="FF7030A0"/>
        <rFont val="Arial"/>
        <family val="2"/>
      </rPr>
      <t xml:space="preserve">Q1FY25 1103(14% YOY )//PAT 81(PAT Margin 7.34%) EBITDA 12.5%
</t>
    </r>
    <r>
      <rPr>
        <b/>
        <sz val="11"/>
        <color theme="1"/>
        <rFont val="Arial"/>
        <family val="2"/>
      </rPr>
      <t>FY24 4023(12.7% YOY )//PAT 389(PAT Margin 9.67%)
 Q1FY24 967(% YOY )//PAT 92(PAT Margin 9.5%)
FY23 3569(% YOY )//PAT 333(PAT Margin 9.33%)</t>
    </r>
  </si>
  <si>
    <r>
      <rPr>
        <b/>
        <sz val="11"/>
        <color rgb="FF7030A0"/>
        <rFont val="Arial"/>
        <family val="2"/>
      </rPr>
      <t>Q1FY25 27.5(0.88%)//PAT 3.39(12.36%)
FY24 113(13%)//PAT 14(12.39%) ///  FY25 130 (21%Yoy Q) //PAT 21(13%)July26 ORDER BOOK 50cr +</t>
    </r>
    <r>
      <rPr>
        <sz val="11"/>
        <color theme="1"/>
        <rFont val="Arial"/>
        <family val="2"/>
      </rPr>
      <t xml:space="preserve"> //FY24 107 (21.32%Yoy Q) //PAT 14.3 (1%) EBITA 23.33//July26 ORDER BOOK 50cr +
FY23 76 (21.32%Yoy Q) //PAT 11 (1%) /// Power transformer market from the commercial &amp; industrial applications segment is expected to exhibit </t>
    </r>
    <r>
      <rPr>
        <b/>
        <sz val="11"/>
        <color rgb="FF7030A0"/>
        <rFont val="Arial"/>
        <family val="2"/>
      </rPr>
      <t>nearly 7% growth rate between 20</t>
    </r>
    <r>
      <rPr>
        <sz val="11"/>
        <color theme="1"/>
        <rFont val="Arial"/>
        <family val="2"/>
      </rPr>
      <t xml:space="preserve">23 and 2032. //secure </t>
    </r>
    <r>
      <rPr>
        <b/>
        <sz val="11"/>
        <color rgb="FFFF0000"/>
        <rFont val="Arial"/>
        <family val="2"/>
      </rPr>
      <t xml:space="preserve">worth ₹3.41 Crore </t>
    </r>
    <r>
      <rPr>
        <sz val="11"/>
        <color theme="1"/>
        <rFont val="Arial"/>
        <family val="2"/>
      </rPr>
      <t xml:space="preserve">new Orders on 19th August, 2024 from Seshasayee Paper and Boards Limited, a paper mill </t>
    </r>
  </si>
  <si>
    <r>
      <t xml:space="preserve">Started focusing on Larger power Transformers // Solar transformers are critical  components in solar energy systems. Their role in ensuring compatibility with the grid is essential for the 
widespread adoption of solar energy in residential, commercial, industrial, and utility-scale applications // capex from 2,500 MVA to 9,000 MVA 65Cr ////CAPACITY :- Currently the company has a capacity to make transformers up to 25 MVA (110Kv), (14000 sq ft land). They plan to build transformers up till 160 MVA for which they are setting up a new plant of 1 Lakh sq ft. step by step increase this first with 50 MV then 100 MV &amp; so on)
2. RECEIVABLES DAYS: - New system in the Tamil Nadu government
(TREDS) which will enable them to receive the amount in a month. Their receivables days is in the range of 120 days, due to the new system it can reduce upto 80-90 days.
3. PRODUCT: Products made for government tender are custom made as per the tender &amp; for private players it can be standardized &amp; custom made.
</t>
    </r>
    <r>
      <rPr>
        <b/>
        <sz val="11"/>
        <color rgb="FF7030A0"/>
        <rFont val="Arial"/>
        <family val="2"/>
      </rPr>
      <t xml:space="preserve">4. REVENUE GUIDANCE:- {130 Cr by FY25 YoY growth of 10% - 30%.
</t>
    </r>
    <r>
      <rPr>
        <sz val="11"/>
        <color theme="1"/>
        <rFont val="Arial"/>
        <family val="2"/>
      </rPr>
      <t>5. ORDER BOOK:- 48Crs out of which Private orders would be completed by FY25 &amp; Government orders in 18 months time.
6. EXECUTION TIME:- Large transformer: 6 - 8 weeks, Small transformers: 6 weeks.
7. RAW MATERIAL:- Government has a clause in which they can account for the fluctuation in prices of raw materials earlier there was 30% ceiling &amp; now there is no ceiling on the fluctuations) &amp; among private players they do not have any clause for fluctuation in prices of raw material.
8. MARGINS:- 20-25% EBITDA margins &amp; 10-15% PAT margins. Their margins are slightly higher from the private sector compared to govt
9. TENDERS:- They currently have tenders with karnataka &amp; tamil nadu government only but are applying for Kerala, Maharashtra &amp; Punjab.
10. NEW CAPACITY:- 6500 MV capacity generating a revenue of 7500
- £550 Crs. CAPEX of this is 760 Cr of which £25 Cr would come in from IPO process &amp; 740 Cr debt.
11. GEOGRAPHICAL PRESENCE :- Currently their majority of orders come from TamilNadu &amp; karnataka, however the company is in plans to increase their presence &amp; enter into export.
12. COMPETITION IN TAMIL NADU:- 40 - 50 bidders for distribution transformers, 2 for power transformers(vigneshwar &amp; Supreme)
13. MOAT:- For bidding companies need to keep 10% of their tender order ready in hand, along with this they are required to have a proto type certificate available. This proto type certificate cost around 730 - 740 LakhsCr in which they have to make a transformer which cost 72 Cr &amp; testing charges 730 lakhs.
Company has completed the required tested and got the certificates.
14. COMPETITION IN LARGE TRANSFORMERS:- 100 MVA &amp; Above :
Indo tech, Atlanta, BSL.
PRICING:- 100 MVA &amp; Above: {14 Cr, 25MVA &amp; below 72 Cr.</t>
    </r>
  </si>
  <si>
    <r>
      <rPr>
        <b/>
        <sz val="11"/>
        <color rgb="FF7030A0"/>
        <rFont val="Arial"/>
        <family val="2"/>
      </rPr>
      <t>Q1FY25 51.75(15%)//PAT 8.8Cr(17%)</t>
    </r>
    <r>
      <rPr>
        <b/>
        <sz val="11"/>
        <color rgb="FFFF0000"/>
        <rFont val="Arial"/>
        <family val="2"/>
      </rPr>
      <t xml:space="preserve">  // FY25 195(15%)//PAT 33 (17%)</t>
    </r>
    <r>
      <rPr>
        <b/>
        <sz val="11"/>
        <color theme="1"/>
        <rFont val="Arial"/>
        <family val="2"/>
      </rPr>
      <t xml:space="preserve">
6 Month March </t>
    </r>
    <r>
      <rPr>
        <b/>
        <sz val="11"/>
        <color rgb="FFFF0000"/>
        <rFont val="Arial"/>
        <family val="2"/>
      </rPr>
      <t>FY24 91(15.19%)//PAT 15(16.48%) --&gt;Q4FY24 45(%)//PAT 7.5(%)</t>
    </r>
    <r>
      <rPr>
        <b/>
        <sz val="11"/>
        <color theme="1"/>
        <rFont val="Arial"/>
        <family val="2"/>
      </rPr>
      <t xml:space="preserve">
6 Month Sept FY23 79(%)//PAT 8(10.13%) --&gt;Q1FY24 40(%)//PAT 4(%)
FY24 170(78.95%)//PAT 23(13.53%)
FY23 95(%)//PAT 15(15.79%)</t>
    </r>
  </si>
  <si>
    <t>Vinsys IT Services India</t>
  </si>
  <si>
    <t>CAP</t>
  </si>
  <si>
    <r>
      <t xml:space="preserve">Avalon is the </t>
    </r>
    <r>
      <rPr>
        <b/>
        <sz val="10"/>
        <color rgb="FFFF0000"/>
        <rFont val="Arial"/>
        <family val="2"/>
      </rPr>
      <t xml:space="preserve">only Indian EMS company </t>
    </r>
    <r>
      <rPr>
        <b/>
        <sz val="10"/>
        <color theme="1"/>
        <rFont val="Arial"/>
        <family val="2"/>
      </rPr>
      <t xml:space="preserve">with full-fledged manufacturing facilities in the United States, which gives it a unique competitive advantage in the North American markets. </t>
    </r>
    <r>
      <rPr>
        <b/>
        <sz val="10"/>
        <color rgb="FFFF0000"/>
        <rFont val="Arial"/>
        <family val="2"/>
      </rPr>
      <t>Order Book of 1244 Crs as of H1FY24</t>
    </r>
    <r>
      <rPr>
        <b/>
        <sz val="10"/>
        <color theme="1"/>
        <rFont val="Arial"/>
        <family val="2"/>
      </rPr>
      <t xml:space="preserve">   we anticipate a recovery  in H1 followed by momentum in H2. New customers in the US. Starting with our major clean energy customer that we previously discussed, we are pleased
to share that long pending product compliance certification for the home electrifying system has
finally been approved / This is a significant milestone and in line with our earlier communication,
the commercial launch is </t>
    </r>
    <r>
      <rPr>
        <b/>
        <sz val="10"/>
        <color rgb="FFFF0000"/>
        <rFont val="Arial"/>
        <family val="2"/>
      </rPr>
      <t>expected in late Q2 FY'25 w</t>
    </r>
    <r>
      <rPr>
        <b/>
        <sz val="10"/>
        <color theme="1"/>
        <rFont val="Arial"/>
        <family val="2"/>
      </rPr>
      <t xml:space="preserve">ith production ramp up anticipated in H2
FY'25  /// </t>
    </r>
    <r>
      <rPr>
        <b/>
        <sz val="10"/>
        <color rgb="FFFF0000"/>
        <rFont val="Arial"/>
        <family val="2"/>
      </rPr>
      <t>While we believe we can comfortably double our revenues in this period,</t>
    </r>
    <r>
      <rPr>
        <b/>
        <sz val="10"/>
        <color theme="1"/>
        <rFont val="Arial"/>
        <family val="2"/>
      </rPr>
      <t xml:space="preserve"> we want to remain
cautiously optimistic for FY'25, projecting a14% to 18% revenue growth.</t>
    </r>
  </si>
  <si>
    <t>SMALL CAP</t>
  </si>
  <si>
    <t>H2, always includes the third and fourth quarter.</t>
  </si>
  <si>
    <r>
      <t xml:space="preserve">For the full FY'25, we do expect to see revenue growth of around 14% to 18% year-on-year,
primarily driven by H2. Since our profit is strongly tied to our scale of production and revenues,
we accordingly expect H2 to be much more profitable for us than H1 and FY'25 as a whole to
be significantly better than FY'24.//This is a significant milestone and in line with our earlier communication,
the commercial launch is expected in late Q2 FY'25 with production ramp up anticipated in H2
FY'25. The scale up of this business is expected to be significant in '26. /////Regarding the transfer of production from our US plant to our India plant, we have received
approval to shift production for nearly 50% of our existing US manufacturing customers during
FY'25. We have already begun the production transfer for approximately 30% to 35% of the
customers.//we expectto see the results of these efforts with the ramp up beginning in H1 FY'25 and continuing strongly
into H2 FY'25.  </t>
    </r>
    <r>
      <rPr>
        <b/>
        <sz val="10"/>
        <color rgb="FF7030A0"/>
        <rFont val="Arial"/>
        <family val="2"/>
      </rPr>
      <t>FY25 Sales 1300 PAT 78CR</t>
    </r>
    <r>
      <rPr>
        <b/>
        <sz val="10"/>
        <color theme="1"/>
        <rFont val="Arial"/>
        <family val="2"/>
      </rPr>
      <t xml:space="preserve"> (6%)</t>
    </r>
  </si>
  <si>
    <t>Borosil Renewables </t>
  </si>
  <si>
    <t xml:space="preserve">
Strong demand outlook for solar glass
The pace of solar installations in the country is expanding rapidly. The domestic manufacturing capacity for solar modules has reached 65 gigawatts and is expected to exceed 100 gigawatts in 2-3 years.
Also, the implementation of the ALMM mechanism from April 1, 2024 has significantly boosted the use of locally produced modules, enhancing demand for solar glass.
India's Current Indian demand in terms of glass consumption stood at 4,000 tonnes per day, out of which Indian production stood at 1,600 tonnes per day, indicating a scope for expansion.
Capacity Expansion:
Current domestic solar glass manufacturing capacity stands at 2,300 tonnes per day, with Borosil Renewables contributing 1,000 tonnes per day. Additionally, the company has approved to expansion plans to increase its capacity by 1,100 tonnes per day (which is on hold currently but expected to progress ahead based on the anti-dumping duty (ADD) and countervailing duty (CVD) findings by DGTR in coming quarter)
No significant new capacities is under construction except for potential captive production by Reliance, indicating better earnings visibility for Borosil.
The company is actively engaging with the government to ensure the inclusion of domestically made solar glass in government tenders, promoting a robust local supply chain.
Fund Raise: The company has also proposed rights issue to raise up to Rs.450 Cr is in progress, aimed at reducing debt for both Indian and overseas operations.
The investigation is under progress by DGTR for anti-dumping duties on imports from China and Vietnam; preliminary findings expected in the next few months.
Challenges:
Ongoing price undercutting by Chinese exporters is a concern, with management noting that Chinese prices are being sold at unsustainable levels.
The German operations are facing challenges due to unrestrained imports of Chinese solar modules at dumped prices. Also, the German unit's operational costs are high due to elevated labor costs; management is focusing on rationalizing workforce and enhancing productivity to reduce per unit costs.
As the largest producer in India, Borosil Renewables stands to benefit from the government's focus on import substitution and the "Make in India" initiative. The company’s strategic position and potential regulatory support underscore its long-term value.
Given these factors, we maintain a positive outlook on Borosil Renewables in coming quarters and increased its weightage from 4% to 6%.</t>
  </si>
  <si>
    <r>
      <rPr>
        <b/>
        <sz val="11"/>
        <color rgb="FF7030A0"/>
        <rFont val="Arial"/>
        <family val="2"/>
      </rPr>
      <t>Upgrade in EBITDA Guidance:</t>
    </r>
    <r>
      <rPr>
        <b/>
        <sz val="10"/>
        <color theme="1"/>
        <rFont val="Arial"/>
        <family val="2"/>
      </rPr>
      <t xml:space="preserve">
In Q1FY25 concall, the management has guided EBITDA margin is expected to</t>
    </r>
    <r>
      <rPr>
        <b/>
        <sz val="11"/>
        <color rgb="FF7030A0"/>
        <rFont val="Arial"/>
        <family val="2"/>
      </rPr>
      <t xml:space="preserve"> improve 20-25% range from current 12%, mainly led by:</t>
    </r>
    <r>
      <rPr>
        <b/>
        <sz val="10"/>
        <color theme="1"/>
        <rFont val="Arial"/>
        <family val="2"/>
      </rPr>
      <t xml:space="preserve">
Imposition of basic customs</t>
    </r>
    <r>
      <rPr>
        <b/>
        <sz val="10"/>
        <color rgb="FFFF0000"/>
        <rFont val="Arial"/>
        <family val="2"/>
      </rPr>
      <t xml:space="preserve"> duty on imports</t>
    </r>
    <r>
      <rPr>
        <b/>
        <sz val="10"/>
        <color theme="1"/>
        <rFont val="Arial"/>
        <family val="2"/>
      </rPr>
      <t xml:space="preserve"> of solar glass at </t>
    </r>
    <r>
      <rPr>
        <b/>
        <sz val="10"/>
        <color rgb="FF7030A0"/>
        <rFont val="Arial"/>
        <family val="2"/>
      </rPr>
      <t>10% effective from 1st October 2024</t>
    </r>
    <r>
      <rPr>
        <b/>
        <sz val="10"/>
        <color theme="1"/>
        <rFont val="Arial"/>
        <family val="2"/>
      </rPr>
      <t>. This will lead to a scope of around 11% rise in ex-factory average selling price for the domestic players like Borosil Renewables. Management guided that this</t>
    </r>
    <r>
      <rPr>
        <b/>
        <sz val="10"/>
        <color rgb="FFFF0000"/>
        <rFont val="Arial"/>
        <family val="2"/>
      </rPr>
      <t xml:space="preserve"> will result in the margin expansion to 20-25% range.</t>
    </r>
    <r>
      <rPr>
        <b/>
        <sz val="10"/>
        <color theme="1"/>
        <rFont val="Arial"/>
        <family val="2"/>
      </rPr>
      <t xml:space="preserve">
Company is also planning to optimize costs through the</t>
    </r>
    <r>
      <rPr>
        <b/>
        <sz val="10"/>
        <color rgb="FFFF0000"/>
        <rFont val="Arial"/>
        <family val="2"/>
      </rPr>
      <t xml:space="preserve"> commissioning of a 16.5 megawatts solar/wind hybrid power plant expected in Q2 FY26.
</t>
    </r>
    <r>
      <rPr>
        <b/>
        <sz val="10"/>
        <color theme="1"/>
        <rFont val="Arial"/>
        <family val="2"/>
      </rPr>
      <t>As the largest producer in India, Borosil Renewables stands to benefit from the government's focus on import substitution and the "Make in India" initiative. The company’s strategic position and potential regulatory support underscore its long-term value.
Given these factors, we maintain a positive outlook on Borosil Renewables in coming quarters and i</t>
    </r>
    <r>
      <rPr>
        <b/>
        <sz val="10"/>
        <color rgb="FFFF0000"/>
        <rFont val="Arial"/>
        <family val="2"/>
      </rPr>
      <t>ncreased its weightage from 4% to 6%.</t>
    </r>
  </si>
  <si>
    <t>BIOCON</t>
  </si>
  <si>
    <t>LARGE CAP</t>
  </si>
  <si>
    <t>Britannia Industries</t>
  </si>
  <si>
    <r>
      <t xml:space="preserve">Q1FY25# Net profit/EPS -13%, Sales +8% </t>
    </r>
    <r>
      <rPr>
        <b/>
        <sz val="10"/>
        <color theme="1"/>
        <rFont val="Arial"/>
        <family val="2"/>
      </rPr>
      <t xml:space="preserve">  //// India's logistics sector is set for significant growth. With incomes rising and the economy growing, there is a strong base
 for expansion.  The infusion of Rs 75,000 crores, with a significant portion originating from private sources, into pivotal transport  infrastructure projects further fortifies the logistical backbone, particularly in sectors like ports, coal, steel, fertilizer, and   food grains.  The utilization of big data analytics in the supply chain industry will be quite prevalent. Artificial intelligence (AI) is
 another game-changer that is poised to transform the Indian logistics industry.  Rapid technological advancements promise increased efficiency but also introduce challenges such as labour market
 transformation and competition from alternative modes of transportation.  Climate-related events and regulatory pressures to reduce emissions pose significant operational challenges for the
 industry</t>
    </r>
    <r>
      <rPr>
        <b/>
        <sz val="10"/>
        <color rgb="FFFF0000"/>
        <rFont val="Arial"/>
        <family val="2"/>
      </rPr>
      <t xml:space="preserve"> //Company has decreased its LT borrowing to zero in FY24 from Rs 2,500Cr In FY23</t>
    </r>
  </si>
  <si>
    <r>
      <t>The revenue of the company increased by 1.5% sequentially and 8.5% on a YoY basis during Q1FY25. During Q1FY25, the operating profit increased by 5% on a YoY basis by maintaining the operating margins at 16%.  ////</t>
    </r>
    <r>
      <rPr>
        <b/>
        <sz val="10"/>
        <color rgb="FFFF0000"/>
        <rFont val="Arial"/>
        <family val="2"/>
      </rPr>
      <t xml:space="preserve">The company posted an 11% decline on a QoQ basis in operating profit for Q1FY25 with the operating margin declining by 200 basis points with the increase in employee cost. Net profit during Q1FY25 showed a degrowth of 31% on a QoQ basis and 13% on a YoY basis. </t>
    </r>
    <r>
      <rPr>
        <b/>
        <sz val="10"/>
        <color rgb="FF00B050"/>
        <rFont val="Arial"/>
        <family val="2"/>
      </rPr>
      <t>Though the company has a decent return profile, the ratios were on a decreasing trend as for RoE: FY24= 23.67% vs FY23= 36.14% and RoCE: FY24= 30.85% vs FY23= 45.98%  as compared to the industry.</t>
    </r>
  </si>
  <si>
    <t>Coromandel International</t>
  </si>
  <si>
    <t>other expansion projects, such as hydrogenation and nitration, which will be rolled out in phases starting the Q2 FY25.</t>
  </si>
  <si>
    <r>
      <t>We have already on-boarded Karolina, our CMO. We will build tech partnerships and alliances, and establish our Gen AI proposition and also leverage the analysts and advisers community, which we have not done in the past. So, this is for FY'25 the key focus areas  We will add multiple channels for lead generation which will help us double the pipeline margin guidance,if I understand correctly, 24% to 28% is for only FY'25 ///</t>
    </r>
    <r>
      <rPr>
        <sz val="10"/>
        <color theme="1"/>
        <rFont val="Arial"/>
        <family val="2"/>
      </rPr>
      <t>eClerx provides business process management, automation and analytics services to a number of Fortune 2000 enterprises, including some of the world's leading financial services, communications, retail, fashion, media &amp; entertainment, manufacturing, travel &amp; leisure and technology companies. Incorporated in 2000, eClerx is today traded on both the Bombay and National Stock Exchanges of India. The firm employs about 17,750 people across Australia, Canada, Germany, India, Italy, Paris, Netherlands, Philippines, Singapore, Dubai, Thailand, UK and the USA</t>
    </r>
  </si>
  <si>
    <t>MID CAP</t>
  </si>
  <si>
    <t>Q1FY25 4393 (10.21%Yoy Q) //PAT 1101(25.06%)</t>
  </si>
  <si>
    <t>EIH</t>
  </si>
  <si>
    <t>Five Star FIIS have 57%</t>
  </si>
  <si>
    <t>Q1FY25 666(38.75%)PAT 252(37.84%)    // FY24 2183 Cr(43% /PAT 836(38%)       physical meeting with Nippon Life Insurance on June 27, 2024,</t>
  </si>
  <si>
    <t>HDFC BANK</t>
  </si>
  <si>
    <r>
      <rPr>
        <b/>
        <u/>
        <sz val="11"/>
        <color rgb="FF7030A0"/>
        <rFont val="Arial"/>
        <family val="2"/>
      </rPr>
      <t xml:space="preserve">FY25 4000(45%)//PAT 155(3.90%)  OR FY25 2920(6%Yoy Q)//PAT 102(3.5%)    </t>
    </r>
    <r>
      <rPr>
        <b/>
        <sz val="11"/>
        <color theme="1"/>
        <rFont val="Arial"/>
        <family val="2"/>
      </rPr>
      <t xml:space="preserve">
</t>
    </r>
    <r>
      <rPr>
        <b/>
        <sz val="11"/>
        <color rgb="FFC00000"/>
        <rFont val="Arial"/>
        <family val="2"/>
      </rPr>
      <t xml:space="preserve">Q1FY25 868(40% YoY)//PAT 27.2(3.3%) </t>
    </r>
    <r>
      <rPr>
        <b/>
        <sz val="11"/>
        <color theme="1"/>
        <rFont val="Arial"/>
        <family val="2"/>
      </rPr>
      <t xml:space="preserve">///FY24 2755(6%Yoy Q)//PAT 93(3.38%)// Q4FY24 731(10.76%Yoy Q)//PAT 23(3.15%)  --&gt; </t>
    </r>
    <r>
      <rPr>
        <b/>
        <sz val="11"/>
        <color rgb="FF7030A0"/>
        <rFont val="Arial"/>
        <family val="2"/>
      </rPr>
      <t xml:space="preserve">PAT 3.89%   </t>
    </r>
    <r>
      <rPr>
        <b/>
        <sz val="11"/>
        <color theme="1"/>
        <rFont val="Arial"/>
        <family val="2"/>
      </rPr>
      <t>///The factory set up in Guwahati, Assam for production of juices commenced production as per schedule. The total CAPEX incurred for the same is approximately 20 crores. The scope of work for the new ice cream factory being set up in Kundli, Haryana, has increased. This will result in an overall CAPEX of approximately 150 crores as against an earlier estimate of 100 crores. T</t>
    </r>
    <r>
      <rPr>
        <b/>
        <sz val="11"/>
        <color rgb="FFFF0000"/>
        <rFont val="Arial"/>
        <family val="2"/>
      </rPr>
      <t>he company expects to commence production by Q3 FY25.</t>
    </r>
    <r>
      <rPr>
        <b/>
        <sz val="11"/>
        <color theme="1"/>
        <rFont val="Arial"/>
        <family val="2"/>
      </rPr>
      <t xml:space="preserve"> Investment of 50 crores has been planned at Hyderabad plant for expansion. The board has approved investing up to 40 crores for its color cosmetics plants located in Silvassa, investment of 20 crores for expansion of capacity at the ice cream plant in Lucknow. The company has completed </t>
    </r>
    <r>
      <rPr>
        <b/>
        <sz val="11"/>
        <color rgb="FFFF0000"/>
        <rFont val="Arial"/>
        <family val="2"/>
      </rPr>
      <t>acquisition of all the facilities under KNS Shoetech and operations are expected to stabilize from Q2 FY25 onwards.</t>
    </r>
    <r>
      <rPr>
        <b/>
        <sz val="11"/>
        <color theme="1"/>
        <rFont val="Arial"/>
        <family val="2"/>
      </rPr>
      <t>///</t>
    </r>
    <r>
      <rPr>
        <b/>
        <sz val="11"/>
        <color rgb="FFC00000"/>
        <rFont val="Arial"/>
        <family val="2"/>
      </rPr>
      <t>The Company has commenced trial production of sports shoes at two new locations in the south and expects to ramp them up in Q2FY25. //Received Board approval to invest up to Rs. 40 cr. in the colour cosmetics plant located at Silvassa Invested Rs. 20 cr. for expansion of capacity at ice cream plant in Lucknow</t>
    </r>
  </si>
  <si>
    <r>
      <t xml:space="preserve">Q1 Call August 14:little early to judge whether this is a revival of the consumption demand, or a temporary dip caused by the elections/While the FMCG sector slowly regains its momentum, we continue to be extremely bullish about our foray into footwear//, I'm pleased to inform 
you that the </t>
    </r>
    <r>
      <rPr>
        <b/>
        <sz val="11"/>
        <color rgb="FFC00000"/>
        <rFont val="Calibri"/>
        <family val="2"/>
        <scheme val="minor"/>
      </rPr>
      <t xml:space="preserve">integration of health care and wellness plant in Baddi is progressing </t>
    </r>
    <r>
      <rPr>
        <b/>
        <sz val="11"/>
        <color theme="1"/>
        <rFont val="Calibri"/>
        <family val="2"/>
        <scheme val="minor"/>
      </rPr>
      <t>and has clocked the</t>
    </r>
    <r>
      <rPr>
        <b/>
        <sz val="11"/>
        <color rgb="FFC00000"/>
        <rFont val="Calibri"/>
        <family val="2"/>
        <scheme val="minor"/>
      </rPr>
      <t xml:space="preserve"> highest production in July '24, last month.</t>
    </r>
    <r>
      <rPr>
        <b/>
        <sz val="11"/>
        <color theme="1"/>
        <rFont val="Calibri"/>
        <family val="2"/>
        <scheme val="minor"/>
      </rPr>
      <t xml:space="preserve">/ regulatory approvals and have resumed exports to UAE, Australia, Africa and in addition to the domestic business. //North shoe factory is progressing, and we expect it to be </t>
    </r>
    <r>
      <rPr>
        <b/>
        <sz val="11"/>
        <color rgb="FFC00000"/>
        <rFont val="Calibri"/>
        <family val="2"/>
        <scheme val="minor"/>
      </rPr>
      <t>completed by the next quarter</t>
    </r>
    <r>
      <rPr>
        <b/>
        <sz val="11"/>
        <color theme="1"/>
        <rFont val="Calibri"/>
        <family val="2"/>
        <scheme val="minor"/>
      </rPr>
      <t>. In the meantime, we have started operations in the new sports 
shoe line that are in the south and are confident of ramping them to th</t>
    </r>
    <r>
      <rPr>
        <b/>
        <sz val="11"/>
        <color rgb="FFC00000"/>
        <rFont val="Calibri"/>
        <family val="2"/>
        <scheme val="minor"/>
      </rPr>
      <t>e full capacity by Q3.</t>
    </r>
    <r>
      <rPr>
        <b/>
        <sz val="11"/>
        <color theme="1"/>
        <rFont val="Calibri"/>
        <family val="2"/>
        <scheme val="minor"/>
      </rPr>
      <t xml:space="preserve"> ///</t>
    </r>
    <r>
      <rPr>
        <b/>
        <sz val="11"/>
        <color rgb="FFFF0000"/>
        <rFont val="Calibri"/>
        <family val="2"/>
        <scheme val="minor"/>
      </rPr>
      <t xml:space="preserve">As far as new sites are concerned, the new ice cream factory that was being set up in n Kundli, Haryana has been transferred to Nashik due to certain operational issues, and this has led to some delay in the project. Production is expected to commence by March '25, that is the next season.
</t>
    </r>
    <r>
      <rPr>
        <b/>
        <sz val="11"/>
        <color theme="1"/>
        <rFont val="Calibri"/>
        <family val="2"/>
        <scheme val="minor"/>
      </rPr>
      <t xml:space="preserve">So, </t>
    </r>
    <r>
      <rPr>
        <b/>
        <sz val="11"/>
        <color rgb="FFC00000"/>
        <rFont val="Calibri"/>
        <family val="2"/>
        <scheme val="minor"/>
      </rPr>
      <t>the reason why we've stayed away from mentioning about INR4,000 crores i</t>
    </r>
    <r>
      <rPr>
        <b/>
        <sz val="11"/>
        <color theme="1"/>
        <rFont val="Calibri"/>
        <family val="2"/>
        <scheme val="minor"/>
      </rPr>
      <t>s -- the actual answer is, we don't know. In this past quarter,</t>
    </r>
    <r>
      <rPr>
        <b/>
        <sz val="14"/>
        <color rgb="FF7030A0"/>
        <rFont val="Calibri"/>
        <family val="2"/>
        <scheme val="minor"/>
      </rPr>
      <t xml:space="preserve"> it's been -- the volumes have ramped up to the level that </t>
    </r>
    <r>
      <rPr>
        <b/>
        <u/>
        <sz val="14"/>
        <color rgb="FF7030A0"/>
        <rFont val="Calibri"/>
        <family val="2"/>
        <scheme val="minor"/>
      </rPr>
      <t>we want</t>
    </r>
    <r>
      <rPr>
        <b/>
        <sz val="14"/>
        <color rgb="FF7030A0"/>
        <rFont val="Calibri"/>
        <family val="2"/>
        <scheme val="minor"/>
      </rPr>
      <t xml:space="preserve">. The volumes actually have ramped up to a level which should generate at normal levels generate a turnover </t>
    </r>
    <r>
      <rPr>
        <b/>
        <u/>
        <sz val="18"/>
        <color rgb="FF7030A0"/>
        <rFont val="Calibri"/>
        <family val="2"/>
        <scheme val="minor"/>
      </rPr>
      <t>greater than INR4,000 crores</t>
    </r>
    <r>
      <rPr>
        <b/>
        <sz val="11"/>
        <color theme="1"/>
        <rFont val="Calibri"/>
        <family val="2"/>
        <scheme val="minor"/>
      </rPr>
      <t>. This is why we've been forthright in saying that our bottom-line numbers should not get affected by this inflation/deflation. However, as far as the top line number is concerned, I really don't know how the macroeconomic conditions are going to work out in terms of petrochemical prices or agricultural commodity.</t>
    </r>
  </si>
  <si>
    <r>
      <t xml:space="preserve">The 4,000Cr SALES number the guidance that we are giving is assuming that prices will not fall further.Baddi or ice creams where the CAPEX is much more/we do believe that we should be able to end up with a 3x to 4x asset turn as a company as a whole// Acquisition: o </t>
    </r>
    <r>
      <rPr>
        <b/>
        <sz val="11"/>
        <color rgb="FFFF0000"/>
        <rFont val="Arial"/>
        <family val="2"/>
      </rPr>
      <t xml:space="preserve">Acquired Reckitt Benckiser </t>
    </r>
    <r>
      <rPr>
        <b/>
        <sz val="11"/>
        <color theme="1"/>
        <rFont val="Arial"/>
        <family val="2"/>
      </rPr>
      <t xml:space="preserve">Healthcare India Private Limited’s manufacturing facility in Baddi, Himachal Pradesh as a move to expand the Healthcare and Wellness division//  </t>
    </r>
    <r>
      <rPr>
        <b/>
        <sz val="11"/>
        <color rgb="FFC00000"/>
        <rFont val="Arial"/>
        <family val="2"/>
      </rPr>
      <t>2022-23 Acquired 100% stake in Reckitt Benckiser Scholl India to expand OTC Healthcare &amp; Wellness segment Commenced commercial production of the Ice Cream plant in Uttar Pradesh Commenced commercial production of Sports/Knitted shoes in Tamil Nadu</t>
    </r>
  </si>
  <si>
    <t>1. Highest-ever NII &amp; PPOP; Bottomline Impacted on increased Provisions /2. Strong Growth Momentum in Deposits &amp; Loan Book /3. Asset Quality Impacted due to bad loans in Microfinance book /4. Balance sheet Strengthening Post Recent Capital raise /5. Attractive Valuation</t>
  </si>
  <si>
    <r>
      <t xml:space="preserve">Acquisition Co. in Dec 2023 acquired 100% stake in Digicom Electronics INC. USA for USD 2.5 million which is in Electronics Manufacturing Services / my </t>
    </r>
    <r>
      <rPr>
        <b/>
        <sz val="10"/>
        <color rgb="FF7030A0"/>
        <rFont val="Arial"/>
        <family val="2"/>
      </rPr>
      <t xml:space="preserve">FY25 Sales 3000 PAT 300CR (10%).
Q1FY25 504(70%Yoy Q) //PAT 51(10%)
</t>
    </r>
    <r>
      <rPr>
        <sz val="10"/>
        <color theme="1"/>
        <rFont val="Arial"/>
        <family val="2"/>
      </rPr>
      <t xml:space="preserve">Q1FY24 297(Yoy Q) //PAT 25(8.42%)
FY24 1805(60.30Yoy Q) //PAT 183(10.14%)
FY23 1126(Yoy Q) //PAT 95(8.44%) //////  </t>
    </r>
    <r>
      <rPr>
        <b/>
        <sz val="10"/>
        <color rgb="FFC00000"/>
        <rFont val="Arial"/>
        <family val="2"/>
      </rPr>
      <t xml:space="preserve">1St Qrt 16.8% of 3000Cr is 504 Acheived
</t>
    </r>
    <r>
      <rPr>
        <b/>
        <sz val="10"/>
        <color rgb="FF7030A0"/>
        <rFont val="Arial"/>
        <family val="2"/>
      </rPr>
      <t xml:space="preserve">2nd Qrt 25% 750 Q2FY25 750//PAT 75(10%) as per the guideline.
</t>
    </r>
    <r>
      <rPr>
        <sz val="10"/>
        <color theme="1"/>
        <rFont val="Arial"/>
        <family val="2"/>
      </rPr>
      <t>For the financial year 2025 going ahead, we expect to have a good traction from all the different verticals, and we will meet and exceed our estimates of 30,000 million of revenue and corresponding EBITDA margin targeting at 15% for FY '25. Kaynes is constantly seeking to stay up to date with the newest technology advancements, hence eager to invest in or collaborate with such businesses.//We can better serve our current customer base and attract new important clients in India and abroad by maintaining our focus on vertical competency and implementing a continuous improvement plan in quality, delivery, and automation. We are in the</t>
    </r>
    <r>
      <rPr>
        <sz val="10"/>
        <color rgb="FFC00000"/>
        <rFont val="Arial"/>
        <family val="2"/>
      </rPr>
      <t xml:space="preserve"> final stage of obtaining government approvals for our new investments and expect the approval soon</t>
    </r>
    <r>
      <rPr>
        <sz val="10"/>
        <color theme="1"/>
        <rFont val="Arial"/>
        <family val="2"/>
      </rPr>
      <t xml:space="preserve">. Now the new government is informed, and budget has already announced.//We have </t>
    </r>
    <r>
      <rPr>
        <sz val="10"/>
        <color rgb="FFC00000"/>
        <rFont val="Arial"/>
        <family val="2"/>
      </rPr>
      <t>acquired land in the state of Gujarat which will be starting our construction shortl</t>
    </r>
    <r>
      <rPr>
        <sz val="10"/>
        <color theme="1"/>
        <rFont val="Arial"/>
        <family val="2"/>
      </rPr>
      <t xml:space="preserve">y.Meanwhile, we also activated the collaboration and the team formation on onboarding is happening parallelly for our OSAT business. We expect a positive response in the </t>
    </r>
    <r>
      <rPr>
        <b/>
        <sz val="10"/>
        <color rgb="FFC00000"/>
        <rFont val="Arial"/>
        <family val="2"/>
      </rPr>
      <t>OSAT business in FY '26</t>
    </r>
    <r>
      <rPr>
        <sz val="10"/>
        <color theme="1"/>
        <rFont val="Arial"/>
        <family val="2"/>
      </rPr>
      <t xml:space="preserve"> ///As far as our approval is concerned, it is in the final stage and is expected at any moment. Regarding the </t>
    </r>
    <r>
      <rPr>
        <b/>
        <sz val="10"/>
        <color rgb="FFC00000"/>
        <rFont val="Arial"/>
        <family val="2"/>
      </rPr>
      <t>HDI Printed Circuit Board project,</t>
    </r>
    <r>
      <rPr>
        <sz val="10"/>
        <color theme="1"/>
        <rFont val="Arial"/>
        <family val="2"/>
      </rPr>
      <t xml:space="preserve"> we are proceeding as per plan. Having set up the team, we are in the final stages of land acquisition and is indicated as indicated earlier, we expect to post revenues in </t>
    </r>
    <r>
      <rPr>
        <b/>
        <sz val="10"/>
        <color rgb="FFC00000"/>
        <rFont val="Arial"/>
        <family val="2"/>
      </rPr>
      <t>Printed Circuit Board business in FY '26.</t>
    </r>
    <r>
      <rPr>
        <sz val="10"/>
        <color theme="1"/>
        <rFont val="Arial"/>
        <family val="2"/>
      </rPr>
      <t xml:space="preserve">////Going forward, the leverage will be available better because as you know the sales will increase.First quarter generally 15%, 16% of the total year, </t>
    </r>
    <r>
      <rPr>
        <b/>
        <sz val="10"/>
        <color rgb="FFC00000"/>
        <rFont val="Arial"/>
        <family val="2"/>
      </rPr>
      <t>second quarter will be 25 years 25%</t>
    </r>
    <r>
      <rPr>
        <sz val="10"/>
        <color theme="1"/>
        <rFont val="Arial"/>
        <family val="2"/>
      </rPr>
      <t>. So you will start getting some good leverage going forward. And I think so one is the better mix which will drive gross margin and then better leverage this will drive even better EBITDA. So we are confident that this is a transient phenomenon. And so we think that we'll be fast in the second quarter end at least we'll definitely be better off.</t>
    </r>
  </si>
  <si>
    <t>Yearly 6% rev was up in 2024 BUT YoY FY25Q1 17% REV up this time with 18% PAT/ 15K Rev expected / 2690 Pat. ///My Projection FY25 Rev 14532(7%)/PAT 2470(17%)</t>
  </si>
  <si>
    <t>Q1FY25# Net profit/EPS 29%, Sales +17%</t>
  </si>
  <si>
    <t>MAPMYINDIA C.E. Info Systems Limited</t>
  </si>
  <si>
    <r>
      <rPr>
        <b/>
        <sz val="10"/>
        <color rgb="FFFF0000"/>
        <rFont val="Arial"/>
        <family val="2"/>
      </rPr>
      <t>Q1FY25 101(%)//PAT 36(35.64%) //FY25 530(40%)//PAT 191(36%)</t>
    </r>
    <r>
      <rPr>
        <b/>
        <sz val="10"/>
        <color theme="1"/>
        <rFont val="Arial"/>
        <family val="2"/>
      </rPr>
      <t xml:space="preserve">
FY24 379(34.88%)//PAT 134(35.36%)
FY23 281(%)//PAT 108(38.43%)///C E Info Systems Limited (“MapmyIndia”) was incorporated on February 17, 1995. The company is a data and technology products and platforms company, offering proprietary digital maps as a service (“MaaS”), software as a service (“SaaS”), and platform as a service (“PaaS”). They are India’s leading provider of advanced digital maps, geospatial software, and location-based IoT technologie</t>
    </r>
  </si>
  <si>
    <t>MAPMYINDIA</t>
  </si>
  <si>
    <r>
      <t>And do you see the balance 3 quarters as being on track for</t>
    </r>
    <r>
      <rPr>
        <b/>
        <sz val="10"/>
        <color rgb="FFFF0000"/>
        <rFont val="Arial"/>
        <family val="2"/>
      </rPr>
      <t xml:space="preserve"> that 35% to 40% growth target</t>
    </r>
    <r>
      <rPr>
        <b/>
        <sz val="10"/>
        <color theme="1"/>
        <rFont val="Arial"/>
        <family val="2"/>
      </rPr>
      <t xml:space="preserve"> that you've set out for yourselves  ///you're right. Our revenue is predictable based on our open order book. And so you've
seen over the last few years the track record of our open order book and new order bookings, that has grown significantly. I mean it was INR1,300 crores at the beginning of this year. It was
INR900 crores the year before. And the year before, I think it was INR699 crores. So that will all add up into revenue in the coming time. So that's what makes us fully confident of achieving our revenue milestone of INR1,000 crores by FY '27, FY '28.</t>
    </r>
  </si>
  <si>
    <t>Q1FY25 4473(28.83% YoY)//PAT 1195.6(26.72%)
Q4FY24 3472//PAT 1045(30%)</t>
  </si>
  <si>
    <t>Equity Capital Share Increased 170 cr from 117,on this reason EPS is Down by 19% ///In Q1FY25, their AUM grew by 21.64% YoY led by increased branches, employees and customer count. Overall PPOP grew by 50.38% YoY. Also, asset quality improved further in the quarter from 2.29% in Q4FY24 to 2.1% in Q1FY25. Management has stated that they have maintained their guidance for FY25. Operating expense and cost of fund is expected to improve in the coming quarters.</t>
  </si>
  <si>
    <r>
      <t xml:space="preserve">Q1FY25 638(33%) PAT 113(18%) </t>
    </r>
    <r>
      <rPr>
        <b/>
        <sz val="10"/>
        <color rgb="FFFF0000"/>
        <rFont val="Arial"/>
        <family val="2"/>
      </rPr>
      <t>EPS 6.64 (-19%)</t>
    </r>
  </si>
  <si>
    <t>MOTILALOFS</t>
  </si>
  <si>
    <t>NATCO PHARMA</t>
  </si>
  <si>
    <t xml:space="preserve"> greater than 20% growth in profit/we are looking at about 20% comfortably  /   Pharma Export Formulations : 76% Domestic Formulations : 13% API: 6% Agchem : 2%</t>
  </si>
  <si>
    <t>4th July 2024 in Mumbai, organized by ICICI Securities  // news article on its potential acquisition in the RoW market</t>
  </si>
  <si>
    <t>Q1FY25 # Net profit/EPS +82%, Sales 54%</t>
  </si>
  <si>
    <t>My Projection FY25 Rev 4250(54.7%)/PAT 216(57%)</t>
  </si>
  <si>
    <r>
      <t>will continue for the next 1-1.5 years although we will be growing more than 25% in the next financial year
We are expecting to maintain a gross margin of around 49%- 50% in FY25 15% guidance is at the Company level. ///revenue</t>
    </r>
    <r>
      <rPr>
        <b/>
        <sz val="10"/>
        <color rgb="FF7030A0"/>
        <rFont val="Arial"/>
        <family val="2"/>
      </rPr>
      <t xml:space="preserve"> growth guidance this 15% guidance is at the Company level.</t>
    </r>
    <r>
      <rPr>
        <b/>
        <sz val="10"/>
        <color theme="1"/>
        <rFont val="Arial"/>
        <family val="2"/>
      </rPr>
      <t xml:space="preserve">
We are expecting to maintain a gross margin of around 49%- 50% in FY25
Demand scale-up of products commercialized over the last 2-3 years
• Aggressive commercialization of new products in FY25: 8-10 new products
• Capacity expansion in line with plan
• Order book position remains solid at USD ~1.75 billion</t>
    </r>
  </si>
  <si>
    <r>
      <t xml:space="preserve">My Projection FY25 Rev 8816(15%)/PAT 2116(24%)   //// </t>
    </r>
    <r>
      <rPr>
        <b/>
        <sz val="10"/>
        <color rgb="FF7030A0"/>
        <rFont val="Arial"/>
        <family val="2"/>
      </rPr>
      <t>Q1FY25 2069(Yoy) //PAT 449 (21.70%)</t>
    </r>
    <r>
      <rPr>
        <b/>
        <sz val="10"/>
        <color theme="1"/>
        <rFont val="Arial"/>
        <family val="2"/>
      </rPr>
      <t xml:space="preserve">
Q4FY24 1741(Yoy) //PAT 370 (21.25%)
Q1FY24 1910(Yoy) //PAT 383 (20%)
FY24 7666(Yoy) //PAT 1682 (21.94%)</t>
    </r>
  </si>
  <si>
    <t>FY25 22548(25% YOY )//PAT 2254(PAT Margin 10 %) OR FY25 21646(20% YOY )//PAT 2164(PAT Margin 10 %)</t>
  </si>
  <si>
    <t>Q1FY25 4698(20.8% YOY )//PAT 402 (PAT Margin 8.56%)
FY24 18039(27.86% YOY )//PAT 1803(PAT Margin 10 %)
Q1FY24 3889(% YOY )//PAT 403 (PAT Margin 10.36%)</t>
  </si>
  <si>
    <r>
      <t xml:space="preserve"> Q1FY25 978(41.13%)PAT 292(29.86%)   //FY24 5418 Cr(148% /PAT 1683(31%)  ///</t>
    </r>
    <r>
      <rPr>
        <b/>
        <sz val="10"/>
        <color theme="1"/>
        <rFont val="Arial"/>
        <family val="2"/>
      </rPr>
      <t>Currently it is trading at P/B at 3.93x vs 4.33x of 1-year median PB. Being an NBFC the appropriate parameter to consider for the company is P/B.</t>
    </r>
  </si>
  <si>
    <r>
      <t xml:space="preserve">Expected 30x to 35x PE
</t>
    </r>
    <r>
      <rPr>
        <b/>
        <sz val="10"/>
        <color rgb="FFFF0000"/>
        <rFont val="Arial"/>
        <family val="2"/>
      </rPr>
      <t>Q1 FY24</t>
    </r>
    <r>
      <rPr>
        <b/>
        <sz val="10"/>
        <color theme="1"/>
        <rFont val="Arial"/>
        <family val="2"/>
      </rPr>
      <t xml:space="preserve"> Performance: The company's Assets Under Management (AUM) </t>
    </r>
    <r>
      <rPr>
        <b/>
        <sz val="10"/>
        <color rgb="FFFF0000"/>
        <rFont val="Arial"/>
        <family val="2"/>
      </rPr>
      <t>grew by 52% year-on-year, and Profit After Tax (PAT) increased by 46% year-on-year</t>
    </r>
    <r>
      <rPr>
        <b/>
        <sz val="10"/>
        <color theme="1"/>
        <rFont val="Arial"/>
        <family val="2"/>
      </rPr>
      <t xml:space="preserve">. However, there </t>
    </r>
    <r>
      <rPr>
        <b/>
        <sz val="10"/>
        <color rgb="FFFF0000"/>
        <rFont val="Arial"/>
        <family val="2"/>
      </rPr>
      <t>was pressure</t>
    </r>
    <r>
      <rPr>
        <b/>
        <sz val="10"/>
        <color theme="1"/>
        <rFont val="Arial"/>
        <family val="2"/>
      </rPr>
      <t xml:space="preserve"> on Net Interest Margins (NIMs), which </t>
    </r>
    <r>
      <rPr>
        <b/>
        <sz val="11"/>
        <color rgb="FFFF0000"/>
        <rFont val="Arial"/>
        <family val="2"/>
      </rPr>
      <t>declined both sequentially and year-on-year.</t>
    </r>
    <r>
      <rPr>
        <b/>
        <sz val="10"/>
        <color theme="1"/>
        <rFont val="Arial"/>
        <family val="2"/>
      </rPr>
      <t xml:space="preserve"> This decline was due to a change in product mix and the fact th</t>
    </r>
    <r>
      <rPr>
        <b/>
        <sz val="10"/>
        <color rgb="FFFF0000"/>
        <rFont val="Arial"/>
        <family val="2"/>
      </rPr>
      <t>at Q4 was the first quarter</t>
    </r>
    <r>
      <rPr>
        <b/>
        <sz val="10"/>
        <color theme="1"/>
        <rFont val="Arial"/>
        <family val="2"/>
      </rPr>
      <t xml:space="preserve"> where the company started onboarding customers outside the co-lending arrangement. Previously, under the co-lending model, Poonawalla Fincorp focused on short-tenor loans. Now, with the direct origination model, the average tenor of personal loans has extended beyond one year, leading to amortization of fees over a longer period.
</t>
    </r>
    <r>
      <rPr>
        <b/>
        <sz val="11"/>
        <color rgb="FF7030A0"/>
        <rFont val="Arial"/>
        <family val="2"/>
      </rPr>
      <t>Future Strategy and Management Guidance</t>
    </r>
    <r>
      <rPr>
        <b/>
        <sz val="10"/>
        <color theme="1"/>
        <rFont val="Arial"/>
        <family val="2"/>
      </rPr>
      <t xml:space="preserve">: The new </t>
    </r>
    <r>
      <rPr>
        <b/>
        <sz val="11"/>
        <color rgb="FF7030A0"/>
        <rFont val="Arial"/>
        <family val="2"/>
      </rPr>
      <t>Managing Director &amp; CEO,</t>
    </r>
    <r>
      <rPr>
        <b/>
        <sz val="10"/>
        <color theme="1"/>
        <rFont val="Arial"/>
        <family val="2"/>
      </rPr>
      <t xml:space="preserve"> along with the management team, has outlined a growth strategy focused on scalability by enhancing collections and expanding distribution. They plan to</t>
    </r>
    <r>
      <rPr>
        <b/>
        <sz val="11"/>
        <color rgb="FF7030A0"/>
        <rFont val="Arial"/>
        <family val="2"/>
      </rPr>
      <t xml:space="preserve"> double their product offerings</t>
    </r>
    <r>
      <rPr>
        <b/>
        <sz val="10"/>
        <color theme="1"/>
        <rFont val="Arial"/>
        <family val="2"/>
      </rPr>
      <t>, with a strong emphasis on risk management. With this strategy in place, the company has guided for a</t>
    </r>
    <r>
      <rPr>
        <b/>
        <sz val="11"/>
        <color rgb="FF7030A0"/>
        <rFont val="Arial"/>
        <family val="2"/>
      </rPr>
      <t xml:space="preserve"> 30-35% AUM growth in FY25 and expects a 35-40%</t>
    </r>
    <r>
      <rPr>
        <b/>
        <sz val="10"/>
        <color theme="1"/>
        <rFont val="Arial"/>
        <family val="2"/>
      </rPr>
      <t xml:space="preserve"> Compound Annual Growth Rate (CAGR) over the next 5 years, with aspirations to increase AUM by 5-6 times within the next 5-6 years.
Given these factors, </t>
    </r>
    <r>
      <rPr>
        <b/>
        <sz val="11"/>
        <color rgb="FF7030A0"/>
        <rFont val="Arial"/>
        <family val="2"/>
      </rPr>
      <t>we believe Poonawalla Fincorp is well-positioned for long-term performance.</t>
    </r>
  </si>
  <si>
    <r>
      <rPr>
        <b/>
        <sz val="10"/>
        <color rgb="FF7030A0"/>
        <rFont val="Arial"/>
        <family val="2"/>
      </rPr>
      <t>Q1FY25 1007 (16%YoY ) // PAT 62Cr (6.16%) ////FY25 5469(30% Yoy) //PAT 323.77 (5.92%)</t>
    </r>
    <r>
      <rPr>
        <b/>
        <sz val="10"/>
        <color theme="1"/>
        <rFont val="Arial"/>
        <family val="2"/>
      </rPr>
      <t xml:space="preserve"> ///FY24 4207(16.83% Yoy) //PAT 249 (5.92%)
FY23 3601(Yoy) //PAT 207 (5.75%)
EBITDA margin 12.37% in FY '24.Expectations for FY '25 ..
</t>
    </r>
    <r>
      <rPr>
        <b/>
        <sz val="10"/>
        <color rgb="FFFF0000"/>
        <rFont val="Arial"/>
        <family val="2"/>
      </rPr>
      <t xml:space="preserve">The stock is trading at an EV/EBITDA multiple of 16.74x which is higher than its 5-year median of 14.31x.
The current PE of the company is 35.67x which is higher than the 5-year median PE of the company 14.81x.
</t>
    </r>
  </si>
  <si>
    <t>We'll keep a conservative revenue growth target of 30% for FY '25. On the margins front too, the direction is on the upside. We will witness further improvement in FY '25. //On the order book side, we have set a target of INR12,000 crores for financial year 2024-25.  Our focus will continue to be in industrial plant, operation and maintenance, railways and water.  Going forward, O&amp;M and MDO business will provide stability in revenues as well as margins 
in a significant way.</t>
  </si>
  <si>
    <r>
      <rPr>
        <b/>
        <sz val="10"/>
        <color rgb="FF7030A0"/>
        <rFont val="Arial"/>
        <family val="2"/>
      </rPr>
      <t xml:space="preserve">Order book 740 CR (till 12 AUG -Q2)  </t>
    </r>
    <r>
      <rPr>
        <b/>
        <sz val="10"/>
        <color rgb="FFC00000"/>
        <rFont val="Arial"/>
        <family val="2"/>
      </rPr>
      <t xml:space="preserve">
Rev as of FT27  7000 to 8000 /EBITA 12 to 14% PAT 490 to 690 Cr  ..CAGR 3 YRS 22% 
Rs. 57,085 Cr AS ON june 30/
Growth Potential &amp; Opportunities:
</t>
    </r>
    <r>
      <rPr>
        <b/>
        <sz val="10"/>
        <color theme="1"/>
        <rFont val="Arial"/>
        <family val="2"/>
      </rPr>
      <t>Mining</t>
    </r>
    <r>
      <rPr>
        <sz val="10"/>
        <color theme="1"/>
        <rFont val="Arial"/>
        <family val="2"/>
      </rPr>
      <t xml:space="preserve"> Segment: Two major contracts,</t>
    </r>
    <r>
      <rPr>
        <b/>
        <sz val="10"/>
        <color theme="1"/>
        <rFont val="Arial"/>
        <family val="2"/>
      </rPr>
      <t xml:space="preserve"> va</t>
    </r>
    <r>
      <rPr>
        <b/>
        <sz val="10"/>
        <color rgb="FF7030A0"/>
        <rFont val="Arial"/>
        <family val="2"/>
      </rPr>
      <t>lued at INR 39,000 crore in</t>
    </r>
    <r>
      <rPr>
        <sz val="10"/>
        <color theme="1"/>
        <rFont val="Arial"/>
        <family val="2"/>
      </rPr>
      <t xml:space="preserve"> the mining sector, are expected to start generating revenue from Q3 FY25, with operations projected to peak by the end of FY27. This segment is anticipated to enhance the company’s margin profile.
</t>
    </r>
    <r>
      <rPr>
        <b/>
        <sz val="10"/>
        <color theme="1"/>
        <rFont val="Arial"/>
        <family val="2"/>
      </rPr>
      <t>Revenue Growth</t>
    </r>
    <r>
      <rPr>
        <sz val="10"/>
        <color theme="1"/>
        <rFont val="Arial"/>
        <family val="2"/>
      </rPr>
      <t>: The company projects a</t>
    </r>
    <r>
      <rPr>
        <b/>
        <sz val="10"/>
        <color theme="1"/>
        <rFont val="Arial"/>
        <family val="2"/>
      </rPr>
      <t xml:space="preserve"> </t>
    </r>
    <r>
      <rPr>
        <b/>
        <sz val="10"/>
        <color rgb="FFFF0000"/>
        <rFont val="Arial"/>
        <family val="2"/>
      </rPr>
      <t>30% revenue growth in FY25</t>
    </r>
    <r>
      <rPr>
        <sz val="10"/>
        <color theme="1"/>
        <rFont val="Arial"/>
        <family val="2"/>
      </rPr>
      <t>, reaching approximately</t>
    </r>
    <r>
      <rPr>
        <b/>
        <sz val="10"/>
        <color rgb="FFFF0000"/>
        <rFont val="Arial"/>
        <family val="2"/>
      </rPr>
      <t xml:space="preserve"> INR 5,500 crore,</t>
    </r>
    <r>
      <rPr>
        <sz val="10"/>
        <color theme="1"/>
        <rFont val="Arial"/>
        <family val="2"/>
      </rPr>
      <t xml:space="preserve"> and a further 25% growth in FY26, targeting around INR 7,000 crore.
O&amp;M Segment: Power Mech manages over 68,000 MW of domestic and 6,700 MW of overseas power capacity, making this the most profitable division of the company.
Steel Sector Opportunities: The management has highlighted significant opportunities in the steel sector, with companies like NMDC and JSPL planning major expansions, creating potential new avenues for growth.</t>
    </r>
  </si>
  <si>
    <r>
      <rPr>
        <b/>
        <sz val="10"/>
        <color rgb="FFC00000"/>
        <rFont val="Arial"/>
        <family val="2"/>
      </rPr>
      <t>Q1FY25 260(21.5%)//PAT 45(17.3%)</t>
    </r>
    <r>
      <rPr>
        <b/>
        <sz val="10"/>
        <color theme="9" tint="-0.499984740745262"/>
        <rFont val="Arial"/>
        <family val="2"/>
      </rPr>
      <t xml:space="preserve"> ///</t>
    </r>
    <r>
      <rPr>
        <b/>
        <sz val="10"/>
        <color rgb="FFC00000"/>
        <rFont val="Arial"/>
        <family val="2"/>
      </rPr>
      <t xml:space="preserve">  FY25 1205(26%)//PAT 242(16%)</t>
    </r>
    <r>
      <rPr>
        <b/>
        <sz val="10"/>
        <color theme="9" tint="-0.499984740745262"/>
        <rFont val="Arial"/>
        <family val="2"/>
      </rPr>
      <t xml:space="preserve">
FY26 1518(26%)//PAT 306(16%)
FY27 1912(26%)//PAT 385(16%)
FY24 957(69.38% YOY)//PAT 145(15.15%)  ///        FY24 Sales 957/PAT145
revenue from about a INR1000 crores to INR2000 crores in the next 3 years.// that's about 26% CAGR. So, our aspiration is that this
year also we meet or beat that number. //Organically we sh</t>
    </r>
    <r>
      <rPr>
        <b/>
        <sz val="10"/>
        <color rgb="FF7030A0"/>
        <rFont val="Arial"/>
        <family val="2"/>
      </rPr>
      <t>ould do 20% and t</t>
    </r>
    <r>
      <rPr>
        <b/>
        <sz val="10"/>
        <color theme="9" tint="-0.499984740745262"/>
        <rFont val="Arial"/>
        <family val="2"/>
      </rPr>
      <t xml:space="preserve">hen given the robust
pipeline that we </t>
    </r>
    <r>
      <rPr>
        <b/>
        <sz val="10"/>
        <color rgb="FF7030A0"/>
        <rFont val="Arial"/>
        <family val="2"/>
      </rPr>
      <t>have the rest 6% should come inorganically.</t>
    </r>
    <r>
      <rPr>
        <b/>
        <sz val="10"/>
        <color theme="9" tint="-0.499984740745262"/>
        <rFont val="Arial"/>
        <family val="2"/>
      </rPr>
      <t xml:space="preserve"> //t is fully operational at this point of time. Yes, there is still some volume growth that needs to be attained. But I think it will see more, you will see faster growth in FY25. Also, there is more order book and pipeline that is still yet to be monetized in the distribution segment, which
will come in from Q1 onwards. </t>
    </r>
  </si>
  <si>
    <r>
      <t>Ind p/e 36 .2 but mark give valuation high in advance 300Cr Profit F25 //FY25Q1 269.64 SALES  /// My Projection FY25 Rev 1200(26%)/PAT 193(16%) ////</t>
    </r>
    <r>
      <rPr>
        <b/>
        <sz val="11"/>
        <color rgb="FFFF0000"/>
        <rFont val="Arial"/>
        <family val="2"/>
      </rPr>
      <t>Thai Airways has announced a multi-year partnership with</t>
    </r>
    <r>
      <rPr>
        <b/>
        <sz val="11"/>
        <color theme="9" tint="-0.499984740745262"/>
        <rFont val="Arial"/>
        <family val="2"/>
      </rPr>
      <t xml:space="preserve"> RateGain's AirGain platform. This collaboration aims to enhance Thai Airways' pricing strategies across its domestic and international routes, leveraging its membership in the Star Alliance network.</t>
    </r>
  </si>
  <si>
    <t>Net profit/EPS -5%</t>
  </si>
  <si>
    <r>
      <rPr>
        <b/>
        <sz val="10"/>
        <color rgb="FFC00000"/>
        <rFont val="Arial"/>
        <family val="2"/>
      </rPr>
      <t>Q1FY25 1415(8.5%)//PAT 53(3.75%)</t>
    </r>
    <r>
      <rPr>
        <b/>
        <sz val="10"/>
        <color theme="1"/>
        <rFont val="Arial"/>
        <family val="2"/>
      </rPr>
      <t xml:space="preserve">
Q1FY24 1304()//PAT 28(2.15%) //// /</t>
    </r>
    <r>
      <rPr>
        <b/>
        <sz val="10"/>
        <color rgb="FFC00000"/>
        <rFont val="Arial"/>
        <family val="2"/>
      </rPr>
      <t xml:space="preserve">FY25 6276(20%)//PAT 226(3.6%) </t>
    </r>
    <r>
      <rPr>
        <b/>
        <sz val="10"/>
        <color theme="1"/>
        <rFont val="Arial"/>
        <family val="2"/>
      </rPr>
      <t xml:space="preserve">   /// FY24 5230(28.31%)//PAT 189(3.6%) //FY23 4076()//PAT 161(3.95%) ///</t>
    </r>
  </si>
  <si>
    <t>With lower gold prices, jewellery companies anticipate more footfalls and increased market share for organized players.plans to grow in the range of 18%- 20% this year</t>
  </si>
  <si>
    <r>
      <t xml:space="preserve">FY24 14021Cr PAT 845 OR FY24 15251 Cr PAT 845     ///   FY24 15251 Cr (16%)/PAT 845(6%) 
</t>
    </r>
    <r>
      <rPr>
        <b/>
        <sz val="10"/>
        <color rgb="FF7030A0"/>
        <rFont val="Arial"/>
        <family val="2"/>
      </rPr>
      <t>FY25 17844 Cr (17%) PAT 1249(7%)</t>
    </r>
    <r>
      <rPr>
        <b/>
        <sz val="10"/>
        <color theme="1"/>
        <rFont val="Arial"/>
        <family val="2"/>
      </rPr>
      <t xml:space="preserve">
FY26 21056 Cr (18%) PAT 1474(8%)
FY27 25057 Cr (19%) PAT 2005(8%)
FY28 29818 or 30000 Cr(19%) /PAT 2535 Cr (8.5%) ///In Q1FY25, Gross Written Premium grew by 18% YoY, and Net premium earned grew by 16% YoY. Overall, PAT increased by 10.7% on YoY basis. Added ~75,000 new agents in last one year. Underwriting profits declined by 3.4% YoY led by increased commission expenses. Their combined ratio increased by 1.4% YoY and stood at 99.2%, but the management is confident of keeping their combined ratios in line with guidance in FY25. Increase in combined ratios was on account of few infectious diseases in the month of May-2024.</t>
    </r>
  </si>
  <si>
    <t>NEED TO CHECK AGAIN</t>
  </si>
  <si>
    <t>Q1FY25# Net profit/EPS -1%, Sales +2%</t>
  </si>
  <si>
    <t>Fine Organic Industries</t>
  </si>
  <si>
    <t>Max Healthcare Institute</t>
  </si>
  <si>
    <t>Sona BLW Precision Forgings</t>
  </si>
  <si>
    <t>n FY25, we are also increasing our spending on
R&amp;D by over 100 basis points. Our teams are working on several exciting high
potential projects across the three business divisions, and we are certain that
higher R&amp;D spending is going to help in expediting all the existing projects
and also allow our teams to work on additional new products.</t>
  </si>
  <si>
    <t>My Projection FY25 Rev 3575(12%)/PAT 571(16%)  //  FY24 Sales 3,185/PAT518</t>
  </si>
  <si>
    <t>Tejas Networks</t>
  </si>
  <si>
    <r>
      <rPr>
        <b/>
        <sz val="11"/>
        <color rgb="FF20385E"/>
        <rFont val="Calibri"/>
        <family val="2"/>
        <scheme val="minor"/>
      </rPr>
      <t xml:space="preserve">1672+1656+1614+1563 </t>
    </r>
    <r>
      <rPr>
        <b/>
        <sz val="12"/>
        <color rgb="FFFF0000"/>
        <rFont val="Calibri"/>
        <family val="2"/>
        <scheme val="minor"/>
      </rPr>
      <t>=FY25 6,505(% YOY )//PAT 325(PAT Margin 5 %)</t>
    </r>
    <r>
      <rPr>
        <b/>
        <sz val="11"/>
        <color rgb="FF20385E"/>
        <rFont val="Calibri"/>
        <family val="2"/>
        <scheme val="minor"/>
      </rPr>
      <t xml:space="preserve">
Q4FY25 1672(7% QOQ )//PAT 83(PAT Margin 5%)  + Q3FY25 1656(6% QOQ )//PAT 82.84(PAT Margin 5%) 
</t>
    </r>
    <r>
      <rPr>
        <b/>
        <sz val="11"/>
        <color rgb="FFFF0000"/>
        <rFont val="Calibri"/>
        <family val="2"/>
        <scheme val="minor"/>
      </rPr>
      <t>Q2FY25 1614(5% QOQ )//PAT 82(PAT Margin 5%)</t>
    </r>
    <r>
      <rPr>
        <b/>
        <sz val="11"/>
        <color rgb="FF20385E"/>
        <rFont val="Calibri"/>
        <family val="2"/>
        <scheme val="minor"/>
      </rPr>
      <t xml:space="preserve">  +Q1FY25 1563(17.78% QOQ )//PAT 77(PAT Margin 4.93 %) EBITDA margins of 15%.//  Q4FY24 1327(% YOY )//PAT 147(PAT Margin 11 %) </t>
    </r>
    <r>
      <rPr>
        <b/>
        <sz val="11"/>
        <color rgb="FFFF0000"/>
        <rFont val="Calibri"/>
        <family val="2"/>
        <scheme val="minor"/>
      </rPr>
      <t>FY25 (% YOY )//PAT (PAT Margin %)</t>
    </r>
    <r>
      <rPr>
        <b/>
        <sz val="10"/>
        <color rgb="FF20385E"/>
        <rFont val="Calibri"/>
        <family val="2"/>
        <scheme val="minor"/>
      </rPr>
      <t xml:space="preserve">
FY24 2471(157% YOY )//PAT 63(PAT Margin 2.66 %)  FY23 922(% YOY )//PAT -36(PAT Margin %)  //
Order Book and Growth Potential: As of June 2024, Tejas Networks boasts a robust order book o</t>
    </r>
    <r>
      <rPr>
        <b/>
        <sz val="10"/>
        <color rgb="FFFF0000"/>
        <rFont val="Calibri"/>
        <family val="2"/>
        <scheme val="minor"/>
      </rPr>
      <t>f INR 7,091 crore,</t>
    </r>
    <r>
      <rPr>
        <b/>
        <sz val="10"/>
        <color rgb="FF20385E"/>
        <rFont val="Calibri"/>
        <family val="2"/>
        <scheme val="minor"/>
      </rPr>
      <t xml:space="preserve"> driven by the execution of the Bharat Net project. The company's long-term growth prospects are bolstered by several key opportunities:
Bharat Net Phase I: Secured an</t>
    </r>
    <r>
      <rPr>
        <b/>
        <sz val="10"/>
        <color rgb="FFFF0000"/>
        <rFont val="Calibri"/>
        <family val="2"/>
        <scheme val="minor"/>
      </rPr>
      <t xml:space="preserve"> INR 7,000 crore order through TCS for 4G/5G networking across 60,000 sites</t>
    </r>
    <r>
      <rPr>
        <b/>
        <sz val="10"/>
        <color rgb="FF20385E"/>
        <rFont val="Calibri"/>
        <family val="2"/>
        <scheme val="minor"/>
      </rPr>
      <t xml:space="preserve">.
Bharat Net Phase III: </t>
    </r>
    <r>
      <rPr>
        <b/>
        <sz val="10"/>
        <color rgb="FFFF0000"/>
        <rFont val="Calibri"/>
        <family val="2"/>
        <scheme val="minor"/>
      </rPr>
      <t>Targeting connectivity for 300,000 villages, with an estimated order value of INR 4,000 crore</t>
    </r>
    <r>
      <rPr>
        <b/>
        <sz val="10"/>
        <color rgb="FF20385E"/>
        <rFont val="Calibri"/>
        <family val="2"/>
        <scheme val="minor"/>
      </rPr>
      <t>.
Indian Railway Kavach Project: An I</t>
    </r>
    <r>
      <rPr>
        <b/>
        <sz val="10"/>
        <color rgb="FFFF0000"/>
        <rFont val="Calibri"/>
        <family val="2"/>
        <scheme val="minor"/>
      </rPr>
      <t>NR 1.08 lakh crore initiative to build a broadband utility for the railway network across India.</t>
    </r>
    <r>
      <rPr>
        <b/>
        <sz val="10"/>
        <color rgb="FF20385E"/>
        <rFont val="Calibri"/>
        <family val="2"/>
        <scheme val="minor"/>
      </rPr>
      <t xml:space="preserve">
Department of Telecommunications (DoT) Rip and Replace Policy: An estimated USD 2-3 billion project to replace Chinese telecom equipment.International Broadband Deals: Securing contracts with Tier 1 operators in the Middle East and South Asia.//With these promising opportunities, backed by the experienced management of the </t>
    </r>
    <r>
      <rPr>
        <b/>
        <sz val="10"/>
        <color rgb="FFFF0000"/>
        <rFont val="Calibri"/>
        <family val="2"/>
        <scheme val="minor"/>
      </rPr>
      <t>Tata Group and limited domestic competition</t>
    </r>
    <r>
      <rPr>
        <b/>
        <sz val="10"/>
        <color rgb="FF20385E"/>
        <rFont val="Calibri"/>
        <family val="2"/>
        <scheme val="minor"/>
      </rPr>
      <t>, Tejas Networks emerges as a strong contender for portfolio inclusion.</t>
    </r>
  </si>
  <si>
    <r>
      <t xml:space="preserve">three sectors, India Government, India Private and International. India Government was about 7% of our overall revenue for the quarter and saw a significant growth, a healthy growth of two and a half times year-over-year. The India private consisted 90% of our business and as you know we categorized the BSNL 4G shipment since it goes to TCS. We categorized that to India private and had a very strong growth of over 14x of Q1 of FY '24 and mainly dominated by the BSNL 4G shipments.
</t>
    </r>
    <r>
      <rPr>
        <b/>
        <sz val="16"/>
        <color rgb="FFFF0000"/>
        <rFont val="Calibri"/>
        <family val="2"/>
        <scheme val="minor"/>
      </rPr>
      <t>Negatives</t>
    </r>
    <r>
      <rPr>
        <b/>
        <sz val="12"/>
        <color rgb="FFFF0000"/>
        <rFont val="Calibri"/>
        <family val="2"/>
        <scheme val="minor"/>
      </rPr>
      <t>:T</t>
    </r>
    <r>
      <rPr>
        <sz val="12"/>
        <color rgb="FFFF0000"/>
        <rFont val="Calibri"/>
        <family val="2"/>
        <scheme val="minor"/>
      </rPr>
      <t>he PE of the stock is not comparable because of the losses in the last 2 years &amp; sudden profit during Q4FY24 and  Q1FY25.
Currently trading at a Market Cap/Sales of 6.20 which is lower as compared to the year median of 12.9. However, it is still high on an absolute basis.
The Price to Book ratio is at 7.27 as compared to the median of 4.34.</t>
    </r>
  </si>
  <si>
    <r>
      <t xml:space="preserve">Tejas Networks offers a diverse range of products, including optical transmission systems, fiber and wireless broadband access solutions, and IP switching products. These offerings are designed to support 4G/5G-ready, end-to-end optical and packet network management, positioning the company at the forefront of next-generation networking.//In 2021-2022, </t>
    </r>
    <r>
      <rPr>
        <b/>
        <sz val="11"/>
        <color rgb="FFFF0000"/>
        <rFont val="Calibri"/>
        <family val="2"/>
        <scheme val="minor"/>
      </rPr>
      <t>Tata Sons,</t>
    </r>
    <r>
      <rPr>
        <b/>
        <sz val="11"/>
        <color theme="1"/>
        <rFont val="Calibri"/>
        <family val="2"/>
        <scheme val="minor"/>
      </rPr>
      <t xml:space="preserve"> through Panatone Finvest Ltd, acquired a </t>
    </r>
    <r>
      <rPr>
        <b/>
        <sz val="11"/>
        <color rgb="FFFF0000"/>
        <rFont val="Calibri"/>
        <family val="2"/>
        <scheme val="minor"/>
      </rPr>
      <t xml:space="preserve">53% stake   //// </t>
    </r>
    <r>
      <rPr>
        <b/>
        <sz val="11"/>
        <color theme="1"/>
        <rFont val="Calibri"/>
        <family val="2"/>
        <scheme val="minor"/>
      </rPr>
      <t xml:space="preserve">Tejas operates with a cost-efficient, asset-light manufacturing model, leveraging global partnerships. Notably, half of its workforce is dedicated to research and development, fostering innovation and enabling the creation of cutting-edge solutions like software-defined hardware.//FY24, Tejas Networks completed the </t>
    </r>
    <r>
      <rPr>
        <b/>
        <sz val="11"/>
        <color rgb="FFFF0000"/>
        <rFont val="Calibri"/>
        <family val="2"/>
        <scheme val="minor"/>
      </rPr>
      <t>acquisition</t>
    </r>
    <r>
      <rPr>
        <b/>
        <sz val="11"/>
        <color theme="1"/>
        <rFont val="Calibri"/>
        <family val="2"/>
        <scheme val="minor"/>
      </rPr>
      <t xml:space="preserve"> of a </t>
    </r>
    <r>
      <rPr>
        <b/>
        <sz val="11"/>
        <color rgb="FFFF0000"/>
        <rFont val="Calibri"/>
        <family val="2"/>
        <scheme val="minor"/>
      </rPr>
      <t>64.4% stake in Saankhya Labs</t>
    </r>
    <r>
      <rPr>
        <b/>
        <sz val="11"/>
        <color theme="1"/>
        <rFont val="Calibri"/>
        <family val="2"/>
        <scheme val="minor"/>
      </rPr>
      <t>, bolstering its capabilities in the 5G RAN program and enhancing its portfolio in semiconductor products and solutions for satellite communication applications.</t>
    </r>
  </si>
  <si>
    <t>Torrent Power</t>
  </si>
  <si>
    <t>Power generation and power transmission. The company has distribution licenses in Ahmedabad, Gandhinagar, Surat, Dahej SEZ and DSIR //Transmission and Distribution 89.96% REV</t>
  </si>
  <si>
    <r>
      <rPr>
        <b/>
        <sz val="11"/>
        <color rgb="FFFF0000"/>
        <rFont val="Arial"/>
        <family val="2"/>
      </rPr>
      <t>Q1Fy25 zen Sales 257CR (92%) PAT 79.46cr(31%) /// FY25 Rev 900(70%)/PAT 225(25%)</t>
    </r>
    <r>
      <rPr>
        <b/>
        <sz val="11"/>
        <color theme="1"/>
        <rFont val="Arial"/>
        <family val="2"/>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r>
      <rPr>
        <b/>
        <sz val="11"/>
        <color rgb="FF7030A0"/>
        <rFont val="Arial"/>
        <family val="2"/>
      </rPr>
      <t>/900 cr revenue for FY2025 ~35% EBITDA Margin and ~25% PAT margin Don’t look at Quarters but the whole year as product mix may change and execution could be lumpy Have healthy enquiries for both their businesses i.e. Simulators and Anti Drone</t>
    </r>
  </si>
  <si>
    <t>ZEN TECHNOLOGIES LIMITED CELEBRATES PATENT GRANT FOR INNOVATIVE "MINE DETECTION SYSTEM"///market leader, commanding over 80% of the defence simulator market in FY24//The company is positioned for substantial growth, with projected opportunities of INR 14,000 crore in simulators and INR 12,000 crore in counter-drone systems over the 5 five years.//Industry Tailwinds: The FY25 budget allocates INR 6,21,941 crore for defence spending. Additionally, the Ministry of Defence (MoD) has introduced a comprehensive simulation framework to enhance the use of simulators by the Armed Forces and Coast Guard, aiming for more cost-effective, efficient, and intelligent training. Industry estimates project the Indian simulator market to grow from USD 1 billion to USD 1.7 billion by FY29, with a 10% CAGR, driven by the government's emphasis on virtual training. Additionally, the Agnipath Pravesh Yojana (APY) is expected to drive demand for faster training of new recruits. The counter-drone market is also forecasted to grow to USD 1.4 billion by FY29, driven by the need for anti-drone systems along the borders. Zen holds a strong market share in both of these segments.</t>
  </si>
  <si>
    <r>
      <t>FY25 R&amp;D we are expecting to be in the tune of around 30 crores but again, you should not hold me to it because we are a very opportunistically our investment R&amp;D company. If we get a good product idea, and the customer suggests that you invest in this, we will not hesitate to invest in that little more than what we have budgeted. So that is one, the second with respect to inorganic acquisition we have taken permission to raise up to, place up to the ₹ 1,000 crores. But, we have not yet identified any target and when and if the things become clear we may raise the bid of the, we may go for the QIP, but as of now, we have to adjust the enabling provision, which will allow us to go and raise./So out of the ₹ 1,400 crore that we have almost ₹ 400+ crores are for exports. And that so, p</t>
    </r>
    <r>
      <rPr>
        <b/>
        <sz val="11"/>
        <color rgb="FFFF0000"/>
        <rFont val="Arial"/>
        <family val="2"/>
      </rPr>
      <t>robably out of the ₹ 900 crores, maybe at least 33%, 30% maybe export in that</t>
    </r>
  </si>
  <si>
    <t>Zen Technologies has a strong focus on research and development (R&amp;D), with over 75 patents granted to date. The company's commitment to innovation is reflected in its continuous investment in R&amp;D, which has enabled it to develop cutting-edge technologies that meet the evolving needs of defence forces globally. Zen Technologies' products are indigenously designed and developed, aligning with the Indian government's 'Make in India' and 'Atmanirbhar Bharat' initiatives, which aim to promote selfreliance in defence manufacturing</t>
  </si>
  <si>
    <t>CFF Fluid Control Ltd</t>
  </si>
  <si>
    <r>
      <t xml:space="preserve">FY24 107(15% YOY )//PAT 17(PAT Margin 4.36%)
FY23 71(% YOY )//PAT 10(PAT Margin 10.5%)
various equipment supplied in the P75 Class Submarine Program  ISO 9001:2015 Registered with MOD, Indian Navy, and Naval Group (France).Oppertunities </t>
    </r>
    <r>
      <rPr>
        <b/>
        <sz val="10"/>
        <color rgb="FF7030A0"/>
        <rFont val="Arial"/>
        <family val="2"/>
      </rPr>
      <t>:P751- 6 Submarines ,P75 AS - 3 Submarines</t>
    </r>
  </si>
  <si>
    <r>
      <t xml:space="preserve">From keeping our ships and submarines combat-ready to storing and transporting spent fuel to optimising clean energy solutions, we serve the defence and energy sectors in the country.​
</t>
    </r>
    <r>
      <rPr>
        <b/>
        <sz val="10"/>
        <color rgb="FF7030A0"/>
        <rFont val="Arial"/>
        <family val="2"/>
      </rPr>
      <t>NEREIDES ,FRANCE</t>
    </r>
    <r>
      <rPr>
        <b/>
        <sz val="10"/>
        <color theme="1"/>
        <rFont val="Arial"/>
        <family val="2"/>
      </rPr>
      <t xml:space="preserve">
 CFF has PAC from Navy and undertakes installation, testing, commissioning and provides life cycle maintenance support for the equipment.
* Nereides specializes in underwater communication for submarines with unique technology
* Company enjoys monopoly in the field.
* System very critical for submarine operations. It is the only mode of communication for submarine when dived.e Equipment fitted on all 26 Indian submarines and will be installed on future platforms. With TOT CFF will indigenize the antennae and export to international markets.
</t>
    </r>
    <r>
      <rPr>
        <b/>
        <sz val="10"/>
        <color rgb="FF7030A0"/>
        <rFont val="Arial"/>
        <family val="2"/>
      </rPr>
      <t>ISSARTEL, France</t>
    </r>
    <r>
      <rPr>
        <b/>
        <sz val="10"/>
        <color theme="1"/>
        <rFont val="Arial"/>
        <family val="2"/>
      </rPr>
      <t xml:space="preserve">
« Issartel integrates equipment and systems for submarines and Energy sector.
CFF will support equipment and systems of 6 scorpene submarines for 30 yrs through ISSARTEL.
* We cover complete range of submarine equipment (Mechanical, Hydraulic, Electric, Controls &amp; Weapon).
* A min of two submarines will be in Short refit and one submarine will be under normal refit. Issartel manufactures equipment for spent fuel transportation and storage</t>
    </r>
  </si>
  <si>
    <r>
      <rPr>
        <b/>
        <sz val="11"/>
        <color rgb="FF7030A0"/>
        <rFont val="Arial"/>
        <family val="2"/>
      </rPr>
      <t>FY25 328(30%)//PAT 46(14%) 750 crore worth of order booK next two to three years</t>
    </r>
    <r>
      <rPr>
        <sz val="11"/>
        <color theme="1"/>
        <rFont val="Arial"/>
        <family val="2"/>
      </rPr>
      <t xml:space="preserve">
FY26 426(30%)//PAT 60(14%)
FY25 553(30%)//PAT 77(14%)
FY25 718(30%)//PAT 100(14%)
Q1FY25 74(37%YOY)//PAT 12(16.22%)
Q4FY24 78(%)//PAT 12(15.38%)
Q1FY25 54(9.54%)//PAT 8(7.42%)
</t>
    </r>
    <r>
      <rPr>
        <b/>
        <sz val="11"/>
        <color theme="1"/>
        <rFont val="Arial"/>
        <family val="2"/>
      </rPr>
      <t>FY24 253(15%)//PAT 35(13.83%)</t>
    </r>
    <r>
      <rPr>
        <sz val="11"/>
        <color theme="1"/>
        <rFont val="Arial"/>
        <family val="2"/>
      </rPr>
      <t xml:space="preserve">
FY23 220()//PAT 31(14%)
we are into are growing in the range of aroun</t>
    </r>
    <r>
      <rPr>
        <sz val="11"/>
        <color rgb="FFFF0000"/>
        <rFont val="Arial"/>
        <family val="2"/>
      </rPr>
      <t xml:space="preserve">d 20% to 25% to 30% </t>
    </r>
    <r>
      <rPr>
        <sz val="11"/>
        <color theme="1"/>
        <rFont val="Arial"/>
        <family val="2"/>
      </rPr>
      <t xml:space="preserve">and we are also benchmarking our growth to the sectoral growth.//we 
have almost </t>
    </r>
    <r>
      <rPr>
        <b/>
        <sz val="11"/>
        <color rgb="FFFF0000"/>
        <rFont val="Arial"/>
        <family val="2"/>
      </rPr>
      <t xml:space="preserve">750 crore worth of order book </t>
    </r>
    <r>
      <rPr>
        <sz val="11"/>
        <color theme="1"/>
        <rFont val="Arial"/>
        <family val="2"/>
      </rPr>
      <t xml:space="preserve">which we have to execute in the </t>
    </r>
    <r>
      <rPr>
        <b/>
        <sz val="11"/>
        <color rgb="FFFF0000"/>
        <rFont val="Arial"/>
        <family val="2"/>
      </rPr>
      <t>period of next two to three years</t>
    </r>
    <r>
      <rPr>
        <sz val="11"/>
        <color theme="1"/>
        <rFont val="Arial"/>
        <family val="2"/>
      </rPr>
      <t>. So we expect the growth to be in line with the targets, as well as the overall segment growth which we expect in the range o</t>
    </r>
    <r>
      <rPr>
        <b/>
        <sz val="11"/>
        <color rgb="FFFF0000"/>
        <rFont val="Arial"/>
        <family val="2"/>
      </rPr>
      <t>f around 20% to 25% to 30%.</t>
    </r>
    <r>
      <rPr>
        <sz val="11"/>
        <color theme="1"/>
        <rFont val="Arial"/>
        <family val="2"/>
      </rPr>
      <t xml:space="preserve">  ///Ceinsys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r>
  </si>
  <si>
    <r>
      <t>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Arial"/>
        <family val="2"/>
      </rPr>
      <t xml:space="preserve">cquisition of Ally Grow </t>
    </r>
    <r>
      <rPr>
        <sz val="11"/>
        <color theme="1"/>
        <rFont val="Arial"/>
        <family val="2"/>
      </rPr>
      <t xml:space="preserve">Technologies facilitates entry into the mobility services sector,capitalizing on the convergence of GIS and autonomous driving technologies </t>
    </r>
  </si>
  <si>
    <t>1296</t>
  </si>
  <si>
    <t>59.4</t>
  </si>
  <si>
    <t>Effwa Infra &amp; Research Ltd SME</t>
  </si>
  <si>
    <t>50% pRIVATE + 44 psu + 3 % GOVT
Founded in 2014, Effwa Infra &amp; Research Limited, offers engineering, consulting, procurement, construction, and project management services in water pollution control.//Their expertise includes wastewater and industrial effluent treatment, solid waste treatment and disposal, aeration systems, hazardous waste management, and water treatment plants.</t>
  </si>
  <si>
    <t>Effwa Infra &amp; Research Ltd</t>
  </si>
  <si>
    <t xml:space="preserve">FY23:REV 115()/PAT 5(4.35%) 
FY24:REV 145(26%)/PAT 14(9.66%) 
FY25:REV 181(25%)/PAT 17.51(9.66%) </t>
  </si>
  <si>
    <t>Focus Lighting &amp; Fixtures</t>
  </si>
  <si>
    <r>
      <rPr>
        <b/>
        <sz val="11"/>
        <color theme="1"/>
        <rFont val="Arial"/>
        <family val="2"/>
      </rPr>
      <t>Q1FY25 54.95(7%)//PAT 9(16.38%)</t>
    </r>
    <r>
      <rPr>
        <sz val="11"/>
        <color theme="1"/>
        <rFont val="Arial"/>
        <family val="2"/>
      </rPr>
      <t xml:space="preserve">
Q1FY24 51.37()//PAT 9(17.5%)
</t>
    </r>
    <r>
      <rPr>
        <b/>
        <sz val="11"/>
        <color theme="1"/>
        <rFont val="Arial"/>
        <family val="2"/>
      </rPr>
      <t>FY24 224(33.33%)//PAT 39(17.4%)</t>
    </r>
    <r>
      <rPr>
        <sz val="11"/>
        <color theme="1"/>
        <rFont val="Arial"/>
        <family val="2"/>
      </rPr>
      <t xml:space="preserve">
FY23 168(52.54%)//PAT 23(13.7%)</t>
    </r>
  </si>
  <si>
    <t>Foods &amp; Inns Ltd</t>
  </si>
  <si>
    <t>FY24 1020(% YOY )//PAT 37(PAT Margin 3.63%)
FY25 (% YOY )//PAT 61(PAT Margin 3.7%) //1650 in 2 to 3 yr</t>
  </si>
  <si>
    <r>
      <t xml:space="preserve">My Projection FY25 Rev 75(75%)/PAT 15(17%) /// </t>
    </r>
    <r>
      <rPr>
        <b/>
        <sz val="11"/>
        <color rgb="FFFF0000"/>
        <rFont val="Arial"/>
        <family val="2"/>
      </rPr>
      <t>Q1FY25 44 (500%) //PAT 10(22.73%)</t>
    </r>
    <r>
      <rPr>
        <b/>
        <sz val="11"/>
        <color rgb="FF7030A0"/>
        <rFont val="Arial"/>
        <family val="2"/>
      </rPr>
      <t xml:space="preserve">  /// FY24 50 (70%) //PAT 8(16%)    
/FY25 95 (90%) //PAT 19(20%) //AUG9# demand is shown in the subsequent month of July also after closure of 1st Quarter. And if that 
demand remains robust, as we have shown in July and the subsequent period, I am confident that Q2 will be also good one. Q3 is always best one, and Q4 again for the fashion jewellery,//In the 2nd Quarter also, they are doing well. As it is, there was a monsoon sale was there in month of July, where we performed extremely well. And during that period, they were calling for the new variety from our side.</t>
    </r>
  </si>
  <si>
    <t>Yes, 2nd Quarter also we are looking good demand, and you will see the figures when 2nd Quarter results come, that those are equally charming and making you happy as it has made happy to you in 1st Quarter. And our wish is the same as your, that we want more and more, and I will do as much as I can, and you all enjoy. If you wish for more then I am ready to provide you the reply and I am ready to supply for your satisfaction.</t>
  </si>
  <si>
    <t xml:space="preserve"> I am happy that our industry is doing well, they are going at 30% to 40% CAGR. And I am happier that our Company is performing even far better than what industry is performing. That is at 30%, 40% CAGR 
industry is performing. We are performing beyond 50% CAGR. A</t>
  </si>
  <si>
    <t>DOWNTREND</t>
  </si>
  <si>
    <t>Q1FY? (%)//PAT (?%)
FY25 40(15% YOY)//PAT 12(30%)
FY24 34(%)//PAT 11(32.35%)
FY23 42(%)//PAT 10(14%)</t>
  </si>
  <si>
    <r>
      <rPr>
        <b/>
        <sz val="12"/>
        <color rgb="FFFF0000"/>
        <rFont val="Arial"/>
        <family val="2"/>
      </rPr>
      <t>My Projection Q1FY25 16.8(40%)//PAT 2.8 Cr(17%)</t>
    </r>
    <r>
      <rPr>
        <sz val="12"/>
        <color theme="1"/>
        <rFont val="Arial"/>
        <family val="2"/>
      </rPr>
      <t xml:space="preserve">
FY25 72.45(40%)//PAT 11.6(16%)
6 month --&gt;March24 26.64(%)//PAT 4.34(14%)  --&gt;  Q1FY24 13.3cr/PAT 2.1Cr(17%)
6 month --&gt;Sep23  25.11(%)//PAT 4.23(%) --&gt;  Q1FY24 12cr/PAT 2.1Cr(17.50%)
FY24 51.75(53.42%)//PAT 8.57(16.56%)
FY23 33.73(%)//PAT 4.2(14%)</t>
    </r>
  </si>
  <si>
    <t>As comp to Vilas PE 46.7</t>
  </si>
  <si>
    <t xml:space="preserve">if Utilization as full capacity 30K Ton,turnover can be 900CR.
if Utilization as full capacity 60K Ton,turnover can be 180CR. addition In OCT. EBITA 15% this time achieved bacause low turnover base ,turover was low but volumes have increased if you consider the PAT margin was 7.8 %.
if we consider 180 cr Sales in H2 (+ 20% from last H1)  Next Ebita 12 to 13 % .Will enable entry into 400 &amp; 765 KV class
transformers leading to margin expansion
</t>
  </si>
  <si>
    <r>
      <rPr>
        <b/>
        <sz val="11"/>
        <color rgb="FFFF0000"/>
        <rFont val="Arial"/>
        <family val="2"/>
      </rPr>
      <t xml:space="preserve">FY25 160(?%)//PAT22(10%) </t>
    </r>
    <r>
      <rPr>
        <b/>
        <sz val="11"/>
        <color theme="1"/>
        <rFont val="Arial"/>
        <family val="2"/>
      </rPr>
      <t xml:space="preserve">OR </t>
    </r>
    <r>
      <rPr>
        <b/>
        <sz val="11"/>
        <color rgb="FF7030A0"/>
        <rFont val="Arial"/>
        <family val="2"/>
      </rPr>
      <t>FY25 137(45%)//PAT 13.7(10%)</t>
    </r>
    <r>
      <rPr>
        <b/>
        <sz val="11"/>
        <color theme="1"/>
        <rFont val="Arial"/>
        <family val="2"/>
      </rPr>
      <t xml:space="preserve"> EBITDA Margin 10% </t>
    </r>
    <r>
      <rPr>
        <b/>
        <sz val="11"/>
        <color rgb="FFC00000"/>
        <rFont val="Arial"/>
        <family val="2"/>
      </rPr>
      <t xml:space="preserve">PAT will be between 10% to 13% // </t>
    </r>
    <r>
      <rPr>
        <b/>
        <sz val="11"/>
        <color theme="1"/>
        <rFont val="Arial"/>
        <family val="2"/>
      </rPr>
      <t xml:space="preserve">(40% to 50% is the top-line growth.
(we have already got INR 80 crores of orders that we'll be able to complete by the 15th of October. )
FY24 94.48(44.75%)//PAT 9.58(10.14%)EBITDA Margin 15% around FY23 63.27(%)//PAT 8(4.15%)  </t>
    </r>
  </si>
  <si>
    <r>
      <t xml:space="preserve">Our innovative ideas are appreciated by Minister for Railways, Mr. Ashwini Vaishnaw,Government of India and he along with 150 railway officers visited our plant to appreciate and understand various innovative ideas we do and which arc benefiting Indian Railways. So, now will be giving you a brief introduction about our promoter group. 
//I am Naresh Kumar. I am </t>
    </r>
    <r>
      <rPr>
        <b/>
        <sz val="11"/>
        <color rgb="FFC00000"/>
        <rFont val="Arial"/>
        <family val="2"/>
      </rPr>
      <t>MTech in Mechanical Engincering from IIT Madras</t>
    </r>
    <r>
      <rPr>
        <b/>
        <sz val="11"/>
        <color theme="1"/>
        <rFont val="Arial"/>
        <family val="2"/>
      </rPr>
      <t xml:space="preserve">. </t>
    </r>
    <r>
      <rPr>
        <b/>
        <sz val="11"/>
        <color rgb="FF7030A0"/>
        <rFont val="Arial"/>
        <family val="2"/>
      </rPr>
      <t>I served Indian Railways as Class 1 
officer for 17 years</t>
    </r>
    <r>
      <rPr>
        <b/>
        <sz val="11"/>
        <color theme="1"/>
        <rFont val="Arial"/>
        <family val="2"/>
      </rPr>
      <t xml:space="preserve">. I have been the architect of many innovative works on Indian Railways like running of double-stack trains, running of double-stack box container trains for rectified route. 
//Thave been engaged in design, development and mamufacturing of special containers in order to reduce unit cost of transportation. Our mission is how we can reduce the logistic cost overall. Another promoter group is Mr. Jai Prakash Bangani. He is basically based in Caleutta. He runs his own NBFC firm and he helps the company in making strategic planning and advice on financial matters. The third promoter group is Mr. Javed Aslam. He is a civil engineer.
//the status as of now for the FY25. The company sufficient order for this year and there is a lot of buoyancy in the scctor comparatively. And we have got orders for special containers like door containers for steel products, 42-fect containers, 40-fect containers for coil and pipe transportation. 
//And in addition, we have got 20-fect containers for enhanced capacity, which arc the side access doors also. So, presently, in last two months, we have got orders of around 80 crores for this financial year for around 2,400 TEUs for this FY. And we are expected to complete these orders by 15 October 2024. 
//And now, we are negotiating for further orders. So this time, we will be purchasing almost 5,000 containers in this FY that is 3,550. So in order to sce the buoyancy in this scctor, the company bas taken advanced steps in increasing the capacity to mest the increased demand of our customers. </t>
    </r>
  </si>
  <si>
    <r>
      <rPr>
        <b/>
        <sz val="11"/>
        <color rgb="FF7030A0"/>
        <rFont val="Calibri"/>
        <family val="2"/>
        <scheme val="minor"/>
      </rPr>
      <t xml:space="preserve">FY24 105Cr(45%) /PAT 13(12.3%)    </t>
    </r>
    <r>
      <rPr>
        <b/>
        <sz val="11"/>
        <color theme="1"/>
        <rFont val="Calibri"/>
        <family val="2"/>
        <scheme val="minor"/>
      </rPr>
      <t xml:space="preserve"> Domestic sales remained strong at INR88.52 crores, while export sales contributed INR16.50 in 2024./ in till june 13 </t>
    </r>
    <r>
      <rPr>
        <b/>
        <u/>
        <sz val="14"/>
        <color rgb="FFFF0000"/>
        <rFont val="Calibri"/>
        <family val="2"/>
        <scheme val="minor"/>
      </rPr>
      <t>INR28.8 crores</t>
    </r>
    <r>
      <rPr>
        <b/>
        <u/>
        <sz val="11"/>
        <color rgb="FFFF0000"/>
        <rFont val="Calibri"/>
        <family val="2"/>
        <scheme val="minor"/>
      </rPr>
      <t xml:space="preserve"> </t>
    </r>
    <r>
      <rPr>
        <b/>
        <sz val="11"/>
        <color theme="1"/>
        <rFont val="Calibri"/>
        <family val="2"/>
        <scheme val="minor"/>
      </rPr>
      <t>out of which around INR20 crores is from Vedanta only. //</t>
    </r>
    <r>
      <rPr>
        <b/>
        <sz val="12"/>
        <color rgb="FF7030A0"/>
        <rFont val="Calibri"/>
        <family val="2"/>
        <scheme val="minor"/>
      </rPr>
      <t>/FY25 131Cr(25%) /PAT 16.25(12.3%)</t>
    </r>
    <r>
      <rPr>
        <b/>
        <sz val="12"/>
        <color theme="1"/>
        <rFont val="Calibri"/>
        <family val="2"/>
        <scheme val="minor"/>
      </rPr>
      <t xml:space="preserve"> //Going forward, we aim to increase our packaging contract revenue to more than 50 percentage in coming year //this year growth we are very confident at least we will do minimum 25 percentage this year and this trend will continue for the next 5 years, 6 years at least 25% year on-year will do. ///This year our top-line guidance is around 25%. So we are expecting to maintain this year on-year basis for the next 5 years. //we have only four contracts with this credential, we are participating in more than five, six big contracts, bigger than Vedanta. So we are very positive that this value will increase substantially in the coming months. //see, </t>
    </r>
    <r>
      <rPr>
        <b/>
        <u/>
        <sz val="12"/>
        <color rgb="FFFF0000"/>
        <rFont val="Calibri"/>
        <family val="2"/>
        <scheme val="minor"/>
      </rPr>
      <t>almost like 70% of our orders are recurring orders</t>
    </r>
    <r>
      <rPr>
        <b/>
        <sz val="12"/>
        <color theme="1"/>
        <rFont val="Calibri"/>
        <family val="2"/>
        <scheme val="minor"/>
      </rPr>
      <t>. We don't have a long-term PO. 
That month-on-month, we get the PO from our clients. And we do have some A)That was our core business in the last two, three years. three verticals: // 1)direct sales of steel scrapping, 2)seals and 3) the scrapping tools. B)separate vertical altogether: 4)</t>
    </r>
    <r>
      <rPr>
        <b/>
        <sz val="12"/>
        <color rgb="FFFF0000"/>
        <rFont val="Calibri"/>
        <family val="2"/>
        <scheme val="minor"/>
      </rPr>
      <t>NEW recently packing contracts.</t>
    </r>
    <r>
      <rPr>
        <b/>
        <sz val="12"/>
        <color theme="1"/>
        <rFont val="Calibri"/>
        <family val="2"/>
        <scheme val="minor"/>
      </rPr>
      <t>//Operating margin, I believe it will be between 15%-20%.</t>
    </r>
  </si>
  <si>
    <r>
      <rPr>
        <b/>
        <u/>
        <sz val="11"/>
        <color rgb="FF7030A0"/>
        <rFont val="Calibri"/>
        <family val="2"/>
        <scheme val="minor"/>
      </rPr>
      <t>FY24 105Cr(45%) /PAT 13.24(12.38%) /</t>
    </r>
    <r>
      <rPr>
        <b/>
        <sz val="11"/>
        <color rgb="FF000000"/>
        <rFont val="Calibri"/>
        <family val="2"/>
        <scheme val="minor"/>
      </rPr>
      <t xml:space="preserve">/Domestic sales remained strong at INR88.52 crores, while export sales contributed INR16.50 
Q3 Krishca :total income of INR76.78 crores in the first nine months of FY'24. /15% of revenue came from exports. 
Q1FY24 24(?%) /PAT 3(%) ,Q2FY24 24Cr(%) /PAT 3(%) 
Q3FY24 27.69Cr(?%) /PAT3.44(12.42%)    EBITDA came at INR5.70 crores
Q4FY24 29.11Cr(5%) /PAT4.12 (14.20%) 
</t>
    </r>
    <r>
      <rPr>
        <b/>
        <u/>
        <sz val="14"/>
        <color rgb="FF002060"/>
        <rFont val="Calibri"/>
        <family val="2"/>
        <scheme val="minor"/>
      </rPr>
      <t xml:space="preserve">Q1FY25 32Cr (%)PAT 4.54(14.2%) </t>
    </r>
    <r>
      <rPr>
        <b/>
        <sz val="11"/>
        <color rgb="FF000000"/>
        <rFont val="Calibri"/>
        <family val="2"/>
        <scheme val="minor"/>
      </rPr>
      <t xml:space="preserve"> ///As of March 2024, our order book stands at INR28.80 crores comprising INR1.39 crores from 
</t>
    </r>
    <r>
      <rPr>
        <b/>
        <sz val="11"/>
        <color rgb="FFFF0000"/>
        <rFont val="Calibri"/>
        <family val="2"/>
        <scheme val="minor"/>
      </rPr>
      <t>strapping contracts</t>
    </r>
    <r>
      <rPr>
        <b/>
        <sz val="11"/>
        <color rgb="FF000000"/>
        <rFont val="Calibri"/>
        <family val="2"/>
        <scheme val="minor"/>
      </rPr>
      <t xml:space="preserve"> and INR27.40 crores from</t>
    </r>
    <r>
      <rPr>
        <b/>
        <sz val="11"/>
        <color rgb="FFFF0000"/>
        <rFont val="Calibri"/>
        <family val="2"/>
        <scheme val="minor"/>
      </rPr>
      <t xml:space="preserve"> packaging contracts</t>
    </r>
    <r>
      <rPr>
        <b/>
        <sz val="11"/>
        <color rgb="FF000000"/>
        <rFont val="Calibri"/>
        <family val="2"/>
        <scheme val="minor"/>
      </rPr>
      <t xml:space="preserve"> (20Cr Vedanta we have a 3 year contract started from this April next 3 years we are having an order. ). //with the full capacity, we can expect up to INR150 crores of revenue from the newly installed production line. //we are participating in various packing contracts, there are various stages in various tenders. Total orders in the pipeline amount to INR300 crores to INR330 crores.//export of around INR34 crores in FY25 //targeting a 25% overall growth this year, including both domestic and export.</t>
    </r>
  </si>
  <si>
    <r>
      <rPr>
        <b/>
        <sz val="11"/>
        <color rgb="FF7030A0"/>
        <rFont val="Arial"/>
        <family val="2"/>
      </rPr>
      <t xml:space="preserve">Projection Q1FY25 Rev 45.3(35%)/PAT 4.5(10%) </t>
    </r>
    <r>
      <rPr>
        <b/>
        <sz val="11"/>
        <color theme="1"/>
        <rFont val="Arial"/>
        <family val="2"/>
      </rPr>
      <t xml:space="preserve"> // BUT Guidline FY25 Rev 180(70%)/PAT 17(9.4%).///</t>
    </r>
    <r>
      <rPr>
        <b/>
        <sz val="11"/>
        <color rgb="FF7030A0"/>
        <rFont val="Arial"/>
        <family val="2"/>
      </rPr>
      <t>PAT TTM 4.5+7.17 +1.3 =13Cr</t>
    </r>
    <r>
      <rPr>
        <b/>
        <sz val="11"/>
        <color theme="1"/>
        <rFont val="Arial"/>
        <family val="2"/>
      </rPr>
      <t xml:space="preserve">
//FY24 106//PAT 9.8(9.2%) </t>
    </r>
    <r>
      <rPr>
        <b/>
        <sz val="11"/>
        <color rgb="FF7030A0"/>
        <rFont val="Arial"/>
        <family val="2"/>
      </rPr>
      <t>(Q1+Q2FY24 REV  35.40Cr //PAT 2.62 CR ,Q3+Q4FY24 71 cr //PAT 7.17Cr</t>
    </r>
    <r>
      <rPr>
        <b/>
        <sz val="11"/>
        <color theme="1"/>
        <rFont val="Arial"/>
        <family val="2"/>
      </rPr>
      <t xml:space="preserve">) /// Company has secured an order worth INR 8.3 Cr from Cochin Shipyard Limited (CSL) for the supply of special steel products to be used for Ship-building./grow at +40% CAGR for the next 3 to 5 years. 2. </t>
    </r>
    <r>
      <rPr>
        <b/>
        <sz val="12"/>
        <color rgb="FFC00000"/>
        <rFont val="Arial"/>
        <family val="2"/>
      </rPr>
      <t>Company targeting a revenue growth of INR 180 to INR 200 Cr in FY25 a</t>
    </r>
    <r>
      <rPr>
        <b/>
        <sz val="11"/>
        <color theme="1"/>
        <rFont val="Arial"/>
        <family val="2"/>
      </rPr>
      <t>nd INR 500 Cr by FY28.//////</t>
    </r>
    <r>
      <rPr>
        <b/>
        <sz val="11"/>
        <color rgb="FFFF0000"/>
        <rFont val="Arial"/>
        <family val="2"/>
      </rPr>
      <t xml:space="preserve">Q1FY25The Defence sector contributed to over 97%, amount to Rs 44Cr , while the Dairy segment contributed Rs 1.3 Cr //As of June 30, 2024, the company’s open orders worth Rs 228.6Cr (227.3 Cr Defence +1.3Cr Dairy ), equivalent to 2.15x  FY24 revenue, indicate a promising pipeline and ongoing revenue opportunies. </t>
    </r>
  </si>
  <si>
    <r>
      <rPr>
        <b/>
        <sz val="11"/>
        <color rgb="FFFF0000"/>
        <rFont val="Arial"/>
        <family val="2"/>
      </rPr>
      <t xml:space="preserve">23AUG #  New Approval: Successfully obtained cer ficate of American Bureau Standard (ABS) and Det Norske Veritas (DNV) class of Steel sec ons which will now expand our market opportunies beyond Naval applicatons.
</t>
    </r>
    <r>
      <rPr>
        <b/>
        <sz val="11"/>
        <color rgb="FF7030A0"/>
        <rFont val="Arial"/>
        <family val="2"/>
      </rPr>
      <t>We have signed a Memorandum of Understanding (MoU) with Vabo Composite, a Netherlands-based industry leader renowned for its innova ve, high-quality, and durable composite products. This partnership will focus on the manufacturing and supply of composite doors and hatches to the Indian Navy and the ASEAN market, both of which present significant growth opportunies</t>
    </r>
    <r>
      <rPr>
        <b/>
        <sz val="11"/>
        <color rgb="FFFF0000"/>
        <rFont val="Arial"/>
        <family val="2"/>
      </rPr>
      <t xml:space="preserve">. </t>
    </r>
    <r>
      <rPr>
        <b/>
        <sz val="11"/>
        <color theme="1"/>
        <rFont val="Arial"/>
        <family val="2"/>
      </rPr>
      <t xml:space="preserve">//   Company has manufacturing unit in Gujarat and a new facility in Bengaluru, expecting to be operational by October. 5. </t>
    </r>
    <r>
      <rPr>
        <b/>
        <sz val="11"/>
        <color rgb="FF7030A0"/>
        <rFont val="Arial"/>
        <family val="2"/>
      </rPr>
      <t>Company Order book stands at INR 230 Cr with an anticipation of securing additional orders</t>
    </r>
    <r>
      <rPr>
        <b/>
        <sz val="11"/>
        <color theme="1"/>
        <rFont val="Arial"/>
        <family val="2"/>
      </rPr>
      <t xml:space="preserve">. 6. Company is doing a Capex of INR 15-20 Cr for a new facility to manufacture weld consumables and bulb bars. 7. Company anticipated revenue from new products to be INR 50-100 Cr.  /// </t>
    </r>
    <r>
      <rPr>
        <b/>
        <sz val="11"/>
        <color rgb="FF7030A0"/>
        <rFont val="Arial"/>
        <family val="2"/>
      </rPr>
      <t>3rd April order update of ₹88 crores --&gt;The execution will start as early as next month</t>
    </r>
    <r>
      <rPr>
        <b/>
        <sz val="11"/>
        <color theme="1"/>
        <rFont val="Arial"/>
        <family val="2"/>
      </rPr>
      <t xml:space="preserve">, but not all of will be executed by end of Q2 that is there. It will spill over to Q3, but wehave to do it in about eight months' time . As of now, our </t>
    </r>
    <r>
      <rPr>
        <b/>
        <sz val="11"/>
        <color rgb="FF7030A0"/>
        <rFont val="Arial"/>
        <family val="2"/>
      </rPr>
      <t xml:space="preserve">order book stands at an impressive above ₹230 crores </t>
    </r>
    <r>
      <rPr>
        <b/>
        <sz val="11"/>
        <color theme="1"/>
        <rFont val="Arial"/>
        <family val="2"/>
      </rPr>
      <t>and with the anticipation of securing additional orders in this financial year//we have started to already enhance our production capacity, which will result in almost doubling our manufacturing capabilities.//We as a company have revised our target from a 30% to 35% given previously about close to 40% year-on-year for the next three years. //a</t>
    </r>
    <r>
      <rPr>
        <b/>
        <u/>
        <sz val="11"/>
        <color rgb="FF7030A0"/>
        <rFont val="Arial"/>
        <family val="2"/>
      </rPr>
      <t xml:space="preserve">n order book of close to ₹230 crores because we've bagged an order also in first week of April towards the bulb bars that we are supplying. </t>
    </r>
    <r>
      <rPr>
        <b/>
        <sz val="11"/>
        <color theme="1"/>
        <rFont val="Arial"/>
        <family val="2"/>
      </rPr>
      <t xml:space="preserve">So we are gearing up for that. We want to try to do more than what we publish. So hence, the number.      ////#Currently, the product that we have developed is a bi-direction signal for the radio frequency or optical fibre. We've done trials, that are successful post which we impact an order. Now this is more for signal intelligence and very specific units of the Army. The opportunity size is when I say large, they're looking at a very, very crazy number, which it might be too premature to say right now. But they've done a trial on about 40 systems, each system costing about close to ₹9 lakh. We expect, that they will be upping their order to about 1,000 to 2,000 systems, because that is what the requirement or probably much more than that.//And in terms of competition, currently, we have none, that is there,because we have developed the product ourselves, and we have start to we already filed our patents related to that. We have not been granted. So work on that is in progress. </t>
    </r>
  </si>
  <si>
    <t>Megatherm Induction Ltd(LOT 400)</t>
  </si>
  <si>
    <r>
      <t>Megatherm Induction Ltd, is a leader in i</t>
    </r>
    <r>
      <rPr>
        <b/>
        <sz val="11"/>
        <color rgb="FF7030A0"/>
        <rFont val="Arial"/>
        <family val="2"/>
      </rPr>
      <t xml:space="preserve">nduction heating &amp; melting solutions and </t>
    </r>
    <r>
      <rPr>
        <b/>
        <sz val="11"/>
        <color rgb="FFFF0000"/>
        <rFont val="Arial"/>
        <family val="2"/>
      </rPr>
      <t>transformers</t>
    </r>
    <r>
      <rPr>
        <sz val="11"/>
        <color theme="1"/>
        <rFont val="Arial"/>
        <family val="2"/>
      </rPr>
      <t>, serving industries such as steel, foundry &amp; castings, auto ancillaries, pipe &amp; tubes, railways, ordinance factories and power distribution aims to enhance manufacturing capacity &amp; revenue. //manufactures induction heating and melting products using electrical induction such as induction melting furnaces and induction heating equipment//</t>
    </r>
    <r>
      <rPr>
        <b/>
        <sz val="11"/>
        <color rgb="FF7030A0"/>
        <rFont val="Arial"/>
        <family val="2"/>
      </rPr>
      <t>Revenue Target Rs. 500 Cr in 3 years</t>
    </r>
    <r>
      <rPr>
        <sz val="11"/>
        <color theme="1"/>
        <rFont val="Arial"/>
        <family val="2"/>
      </rPr>
      <t xml:space="preserve"> //EXPAND CAPACITIES :Ongoing capex of ₹ 30 Cr on Construction of New Shed to be completed by Sep 2024// Incremental Target Revenue by FY27 - 210 Cr// Greenfield Expansion (5 to 7 year plan)  Additional Capex of around 50-60 Cr to reach additional incremental revenue of 500 Cr //NEW PRODUCTS :Wider range of product specifications and services adhering to global standards.</t>
    </r>
    <r>
      <rPr>
        <b/>
        <sz val="14"/>
        <color theme="1"/>
        <rFont val="Arial"/>
        <family val="2"/>
      </rPr>
      <t xml:space="preserve"> Expand transformer manufacturing capacity to cater to industrial transformers apart from induction transformers</t>
    </r>
    <r>
      <rPr>
        <sz val="11"/>
        <color theme="1"/>
        <rFont val="Arial"/>
        <family val="2"/>
      </rPr>
      <t xml:space="preserve"> //NCREASING OPERATIONAL EFFICIENCIES TO IMPROVE MARGINS Continue to invest in operational excellence Use a variety of other manufacturing strategies, sourcing strategies and cost reduction strategies Target EBITDA Margin Medium Term (FY27) - around 15% Long term (FY30) - around 20%  //</t>
    </r>
    <r>
      <rPr>
        <b/>
        <sz val="11"/>
        <color rgb="FFFF0000"/>
        <rFont val="Arial"/>
        <family val="2"/>
      </rPr>
      <t xml:space="preserve">The current order book stands at INR 393 crores. </t>
    </r>
    <r>
      <rPr>
        <sz val="11"/>
        <color theme="1"/>
        <rFont val="Arial"/>
        <family val="2"/>
      </rPr>
      <t xml:space="preserve"> The company has secured orders worth approx. INR 102 crores between April and July 2024  Enquiries from a domestic client, valued at INR 26 crores and an export client, worth INR 64 crores, is nearing finalization.
</t>
    </r>
    <r>
      <rPr>
        <b/>
        <sz val="11"/>
        <color rgb="FFFF0000"/>
        <rFont val="Arial"/>
        <family val="2"/>
      </rPr>
      <t>New Product Launch The Hybrid converter for the foundry market will have its soft launch on August 22 – 24, 2024 at InterFoundry 2024 in Coimbatore</t>
    </r>
    <r>
      <rPr>
        <sz val="11"/>
        <color theme="1"/>
        <rFont val="Arial"/>
        <family val="2"/>
      </rPr>
      <t>.</t>
    </r>
  </si>
  <si>
    <t>New Geographies &amp; Clients
 Induction heating equipment has been supplied to United Kingdom for the first time which is
expected to open up the market for future orders
 Order in hand from new client The Singareni Collieries Company Limited will be executed in this
financial year
 Induction hardening and tempering machine for steel bars has been supplied to new client Mukund
Sumitomo Special Steels Ltd.
Capacity Utilization
 Like last financial year, currently factory is running at maximum capacity
 Additional capacity is expected to be available from Q4 FY25
CAPEX Update
 Transformer factory progress is on schedule.
 Shed completion is anticipated by the end of September 2024.
 Machinery installation is projected for December 2024.
 Further updates will be provided in the next review meeting.</t>
  </si>
  <si>
    <r>
      <rPr>
        <b/>
        <sz val="11"/>
        <color rgb="FF7030A0"/>
        <rFont val="Arial"/>
        <family val="2"/>
      </rPr>
      <t>FY24 306(15% YOY )//PAT 21(PAT Margin 6.86 %)</t>
    </r>
    <r>
      <rPr>
        <sz val="11"/>
        <color theme="1"/>
        <rFont val="Arial"/>
        <family val="2"/>
      </rPr>
      <t xml:space="preserve">
Q4+Q3 FY24 159(% YOY )//PAT 13(PAT Margin 8.18 %)
Q2+Q1 FY24 147(% YOY )//PAT 8(PAT Margin 5.44 %)
FY23 266(% YOY )//PAT 14(PAT Margin 5.26%)
</t>
    </r>
    <r>
      <rPr>
        <b/>
        <u/>
        <sz val="11"/>
        <color rgb="FFFF0000"/>
        <rFont val="Arial"/>
        <family val="2"/>
      </rPr>
      <t>FY25 361(18% YOY )//PAT 28.89(PAT Margin 8 %)
FY26 425(18% YOY )//PAT 34(PAT Margin 8 %)
FY27 501(18% YOY )//PAT 40(PAT Margin 8 %)</t>
    </r>
  </si>
  <si>
    <r>
      <t xml:space="preserve">Ongoing capex for new shed construction, set to </t>
    </r>
    <r>
      <rPr>
        <b/>
        <sz val="11"/>
        <color rgb="FFFF0000"/>
        <rFont val="Arial"/>
        <family val="2"/>
      </rPr>
      <t>complete by September 2024</t>
    </r>
    <r>
      <rPr>
        <sz val="11"/>
        <color theme="1"/>
        <rFont val="Arial"/>
        <family val="2"/>
      </rPr>
      <t xml:space="preserve"> and commissioned
by Q4 FY25 with an </t>
    </r>
    <r>
      <rPr>
        <b/>
        <sz val="11"/>
        <color rgb="FFFF0000"/>
        <rFont val="Arial"/>
        <family val="2"/>
      </rPr>
      <t xml:space="preserve">incremental revenue target of approx. INR 200 crore by FY26/FY27 </t>
    </r>
    <r>
      <rPr>
        <sz val="11"/>
        <color theme="1"/>
        <rFont val="Arial"/>
        <family val="2"/>
      </rPr>
      <t>(related to
the afore mentioned capex update).
 Greenfield expansions planned, aimed at achieving revenue of 3x – 4x of FY24 figures in 5 years
 Plans to boost domestic and global presence by expanding export operations and participating in
international marketing events.
 Expand customer base by increasing business share with existing clients and leveraging
geographical presence to meet the sourcing needs of multinational customers.
 Introduce new products with broader specifications and services meeting global standards and
expand transformer manufacturing capacity to include industrial and renewable transformers in
addition to induction converter transformers.
 Enhance operational efficiencies and margins through continuous investment in backward
integration and diverse sourcing strategies, aiming for an</t>
    </r>
    <r>
      <rPr>
        <b/>
        <sz val="11"/>
        <color rgb="FFFF0000"/>
        <rFont val="Arial"/>
        <family val="2"/>
      </rPr>
      <t xml:space="preserve"> EBITDA margin of approximately 15% by
FY27</t>
    </r>
    <r>
      <rPr>
        <sz val="11"/>
        <color theme="1"/>
        <rFont val="Arial"/>
        <family val="2"/>
      </rPr>
      <t xml:space="preserve"> and 20% by FY30.</t>
    </r>
  </si>
  <si>
    <t>20% volume growth will come this year as well. If the price that has gone down comes up, then it will
start to look more in revenue terms, but we believe that we will achieve 20% volume growth this year as
well. And when the Maharashtra unit will start, then the volume growth in that year will look even higher</t>
  </si>
  <si>
    <t>FY25 638.40(20%) PAT 35 PAt 5.45%</t>
  </si>
  <si>
    <t>Ratnaveer Precision Engineering Ltd</t>
  </si>
  <si>
    <r>
      <rPr>
        <b/>
        <sz val="11"/>
        <color rgb="FFFF0000"/>
        <rFont val="Arial"/>
        <family val="2"/>
      </rPr>
      <t>Q1FY25 18.75(%)//PAT 5(26.6%)  ///FY25 114(90%)//PAT 28.5(25%)</t>
    </r>
    <r>
      <rPr>
        <b/>
        <sz val="11"/>
        <color theme="1"/>
        <rFont val="Arial"/>
        <family val="2"/>
      </rPr>
      <t xml:space="preserve">
FY24 60(100%)//PAT 18(30%)
FY23 30(%)//PAT -9(%)//Q1 Result OPM improved 36% /REV 18.75Cr is up 70% /Profit 3 times //</t>
    </r>
  </si>
  <si>
    <t>510</t>
  </si>
  <si>
    <r>
      <t xml:space="preserve">FY24:REV 247(184%)/PAT 26(10.53%) 
</t>
    </r>
    <r>
      <rPr>
        <b/>
        <sz val="11"/>
        <color rgb="FFC00000"/>
        <rFont val="Arial"/>
        <family val="2"/>
      </rPr>
      <t xml:space="preserve">FY25:REV 358(45%)/PAT 38(10.54%) </t>
    </r>
    <r>
      <rPr>
        <sz val="11"/>
        <color theme="1"/>
        <rFont val="Arial"/>
        <family val="2"/>
      </rPr>
      <t xml:space="preserve"> /// BUY AT below PE 30  Management expecting 40 to 50% Growth  in FY25Sathlokhar Synergys E&amp;C Global Limited (Sathlokhar, TheCompany) is an integrated Engineering, Procurement, and Construction (EPC) company, renowned for its comprehensive design and build services across various sectors, including industrial, commercial, institutional, pharmaceutical, solar, healthcare, and hospitality. Operating in Tamil Nadu, Karnataka, Uttar Pradesh, West Bengal &amp; Pondicherry the company manages projects from detailed design and planning through to procurement, engineering, execution, and commissioning.//23 aug 13.33 Crore Company has successfully bagged an Order from AAA Blue Chip Projects Private Limited, 
Coimbatory, for “Construction of factory building for (occupier:  GE Oil &amp; Gas India private Limited) at S.F. Nos. 61/1 &amp; 62/1B, Madukkarai Taluk, Seerapalayam Village, Coimbatore, Tamil Nadu,</t>
    </r>
  </si>
  <si>
    <t>aug 19// Company has successfully bagged an Order from Komatsu India Private Limited, Oragadam, for “Construction of New Warehouse 4200 Sq. M. (approx.) and the MEP work associated with the same//Total Order value is estimated at INR 20.17 Crore (including GST) Delivery Completion is March 2025</t>
  </si>
  <si>
    <r>
      <rPr>
        <b/>
        <sz val="11"/>
        <color rgb="FF000000"/>
        <rFont val="Calibri"/>
        <family val="2"/>
        <scheme val="minor"/>
      </rPr>
      <t xml:space="preserve">Q1FY25 </t>
    </r>
    <r>
      <rPr>
        <b/>
        <sz val="11"/>
        <color rgb="FFC00000"/>
        <rFont val="Calibri"/>
        <family val="2"/>
        <scheme val="minor"/>
      </rPr>
      <t>40.6</t>
    </r>
    <r>
      <rPr>
        <b/>
        <sz val="11"/>
        <color rgb="FF000000"/>
        <rFont val="Calibri"/>
        <family val="2"/>
        <scheme val="minor"/>
      </rPr>
      <t xml:space="preserve">//PAT 1.4(?%)
Q4FY24 81.8//PAT 5.35(%)  As mentioned earlier, we have increased our production capacity 3 times, which </t>
    </r>
    <r>
      <rPr>
        <b/>
        <sz val="14"/>
        <color rgb="FFFF0000"/>
        <rFont val="Calibri"/>
        <family val="2"/>
        <scheme val="minor"/>
      </rPr>
      <t>will start reflecting in revenues from the second quarter of FY '25.</t>
    </r>
    <r>
      <rPr>
        <b/>
        <sz val="11"/>
        <color rgb="FF000000"/>
        <rFont val="Calibri"/>
        <family val="2"/>
        <scheme val="minor"/>
      </rPr>
      <t xml:space="preserve"> We are confident in building a customer base to achieve a total revenue of approximately INR10 crores in FY '25 and potentially increase it to INR100 crores by FY '28.</t>
    </r>
    <r>
      <rPr>
        <b/>
        <sz val="11"/>
        <color theme="1"/>
        <rFont val="Calibri"/>
        <family val="2"/>
        <scheme val="minor"/>
      </rPr>
      <t xml:space="preserve"> ///manufactures and sells cored wires, ferro alloys, aluminium wire and related items//SML, a part of the DB Group, is a manufacturer and exporter of cored wires and aluminum flipping coils. These are essential consumables in modern metallurgy, used for fine-tuning steel//</t>
    </r>
    <r>
      <rPr>
        <b/>
        <sz val="11"/>
        <color rgb="FF7030A0"/>
        <rFont val="Calibri"/>
        <family val="2"/>
        <scheme val="minor"/>
      </rPr>
      <t>Cored wires are products of wire injection technology used in steel production.</t>
    </r>
    <r>
      <rPr>
        <b/>
        <sz val="11"/>
        <color theme="1"/>
        <rFont val="Calibri"/>
        <family val="2"/>
        <scheme val="minor"/>
      </rPr>
      <t xml:space="preserve"> They consist of steel tubes (wires) filled with various alloys injected into molten metal to introduce different characteristics. Key cored wires manufactured by the company include Calcium Silicide, Calcium Iron, Calcium Aluminium Iron, Calcium Solid Wire, Lead Cored Wire, Ferro Titanium, Carbon, Ferro Boron, Magnesium Ferrosilicon, Nitride Manganese, and Ferro Niobium. These are used for steel refining, alloy addition, deoxidation, desulphurization, and denitrification.</t>
    </r>
  </si>
  <si>
    <r>
      <t>FY24 41.33(15% YOY )//PA</t>
    </r>
    <r>
      <rPr>
        <b/>
        <sz val="11"/>
        <color rgb="FFFF0000"/>
        <rFont val="Arial"/>
        <family val="2"/>
      </rPr>
      <t>T 1.8(PAT Margin 4.36%)</t>
    </r>
    <r>
      <rPr>
        <sz val="11"/>
        <color rgb="FFFF0000"/>
        <rFont val="Arial"/>
        <family val="2"/>
      </rPr>
      <t xml:space="preserve">
FY23 35.91(% YOY )//PAT 3.77(PAT Margin 10.5%)</t>
    </r>
  </si>
  <si>
    <r>
      <rPr>
        <b/>
        <sz val="11"/>
        <color rgb="FF7030A0"/>
        <rFont val="Arial"/>
        <family val="2"/>
      </rPr>
      <t>Q1FY25 ?(%)//PAT ?(%)</t>
    </r>
    <r>
      <rPr>
        <b/>
        <sz val="11"/>
        <color theme="1"/>
        <rFont val="Arial"/>
        <family val="2"/>
      </rPr>
      <t xml:space="preserve">
</t>
    </r>
    <r>
      <rPr>
        <b/>
        <sz val="11"/>
        <color rgb="FF7030A0"/>
        <rFont val="Arial"/>
        <family val="2"/>
      </rPr>
      <t>FY25 165(40%)//PAT 10.74(6.5%)</t>
    </r>
    <r>
      <rPr>
        <b/>
        <sz val="11"/>
        <color theme="1"/>
        <rFont val="Arial"/>
        <family val="2"/>
      </rPr>
      <t xml:space="preserve">
FY24 118(44%)//PAT 8(6.78%)
FY23 82(?%)//PAT 3(3.66%)</t>
    </r>
  </si>
  <si>
    <t>Unicommerce eSolutions</t>
  </si>
  <si>
    <r>
      <rPr>
        <b/>
        <sz val="11"/>
        <color rgb="FFC00000"/>
        <rFont val="Arial"/>
        <family val="2"/>
      </rPr>
      <t xml:space="preserve">FY25 121.68(17%)//PAT 20(16%) </t>
    </r>
    <r>
      <rPr>
        <b/>
        <sz val="11"/>
        <color theme="1"/>
        <rFont val="Arial"/>
        <family val="2"/>
      </rPr>
      <t xml:space="preserve"> Q1FY25 27.47(3.78%)//PAT 3.5(12.74%)
Q4FY24 26.53()//PAT 2.88(10.86%)
Q3FY24 25.16()//PAT 2.68(11%)
FY24 104(15.56%)//PAT 13(15.56%)
FY23 90(52.54%)//PAT 6(6.67%)
FY22 59(%)//PAT 6(6.67%)</t>
    </r>
  </si>
  <si>
    <t xml:space="preserve">We expect this growth momentum to continue as generally H2 is better than H1 due to the festive season sales. //As I mentioned, we have seen some softness in the e-commerce growth. But we have seen some recovery at the end of quarter 1. And we are hopeful with now the demand picking up, we will see higher growth in the subsequent quarters. I think it will be very early for us to predict what the growth will be. But we are seeing some signs of recovery already and hopeful that the 
subsequent quarters will demonstrate a higher growth going forward. </t>
  </si>
  <si>
    <r>
      <t xml:space="preserve">Unicommerce eSolutions Limited is a SaaS platform that manages e-commerce operations for brands, sellers, and logistics providers//Unicommerce processed </t>
    </r>
    <r>
      <rPr>
        <b/>
        <sz val="11"/>
        <color rgb="FFFF0000"/>
        <rFont val="Arial"/>
        <family val="2"/>
      </rPr>
      <t xml:space="preserve">~20-25% of India’s eCommerce dropship volume during 2023.
</t>
    </r>
    <r>
      <rPr>
        <b/>
        <sz val="11"/>
        <color theme="1"/>
        <rFont val="Arial"/>
        <family val="2"/>
      </rPr>
      <t>//The Company's revenues are linked to the volume of transactions and the growth in transaction
 numbers is expected to drive further business growth. In addition, the expansion of our client base,
 the launch of new products and entry into new markets will contribute to revenue growth for this
 fiscal year.
Initiatives to decrease cost//Optimisations in AWS ▪ Building elastic architecture - Kubernetes// Building efficiency in client onboarding,support and success through new technology adoption//Our new launch “UniReco” simplifies payment and returns reconciliations.Marketplace overcharges
 ▪ Pendingpayments  ▪ No viewon pending returns, lost returns.#Reduced revenue leakage ▪ Reduced inventory losses ▪ Better cash flow view and management.
// UniReco will target the brands and retailers who are selling prominently across marketplaces
//UniShip will target the brands and retailers who wants to create a delightful post-purchase experience for their consumers on their own brand website.</t>
    </r>
  </si>
  <si>
    <r>
      <t>The</t>
    </r>
    <r>
      <rPr>
        <b/>
        <sz val="11"/>
        <color rgb="FFC00000"/>
        <rFont val="Arial"/>
        <family val="2"/>
      </rPr>
      <t xml:space="preserve"> second growth drive</t>
    </r>
    <r>
      <rPr>
        <b/>
        <sz val="11"/>
        <color theme="1"/>
        <rFont val="Arial"/>
        <family val="2"/>
      </rPr>
      <t>r is new client additions. The e-commerce industry is currently underpenetrated and there is a large scope for the company to add to its existing client base. There are many categories that are yet to go online in a big way and many traditional brands that are yet to adopt being direct-to-consumer and omni-channel in a big way. T</t>
    </r>
    <r>
      <rPr>
        <b/>
        <sz val="11"/>
        <color rgb="FFC00000"/>
        <rFont val="Arial"/>
        <family val="2"/>
      </rPr>
      <t>he third growth driver</t>
    </r>
    <r>
      <rPr>
        <b/>
        <sz val="11"/>
        <color theme="1"/>
        <rFont val="Arial"/>
        <family val="2"/>
      </rPr>
      <t xml:space="preserve"> is new products. Our vision is to become a one-stop shop for e-commerce enablement and hence we recently launched two new products and we will continue to offer more solutions so that the ecosystem can fulfill all their needs of e-commerce enablement from a single place.</t>
    </r>
    <r>
      <rPr>
        <b/>
        <sz val="11"/>
        <color rgb="FFC00000"/>
        <rFont val="Arial"/>
        <family val="2"/>
      </rPr>
      <t>The fourth growth drive</t>
    </r>
    <r>
      <rPr>
        <b/>
        <sz val="11"/>
        <color theme="1"/>
        <rFont val="Arial"/>
        <family val="2"/>
      </rPr>
      <t>r is international expansion. We are already present in six countries outside of India and our focus would be to go deeper in these geographies across Southeast Asia and Middle East and deliver growth.</t>
    </r>
  </si>
  <si>
    <t>Vilas Transcore</t>
  </si>
  <si>
    <r>
      <rPr>
        <b/>
        <sz val="11"/>
        <color rgb="FFFF0000"/>
        <rFont val="Arial"/>
        <family val="2"/>
      </rPr>
      <t xml:space="preserve">FY25 341(10%)//PAT 27(8%) </t>
    </r>
    <r>
      <rPr>
        <b/>
        <sz val="11"/>
        <color theme="1"/>
        <rFont val="Arial"/>
        <family val="2"/>
      </rPr>
      <t xml:space="preserve">
FY24 310(9.54%)//PAT 23(7.42%) 
FY23 283(%)//PAT 20(7%)</t>
    </r>
  </si>
  <si>
    <t>V.L.Infraprojects Ltd 3000</t>
  </si>
  <si>
    <t>Government projects, particularly in water infrastructure and irrigation//he company executes water supply and wastewater infrastructure projects, focusing on pipe procurement, laying, connection, and commissioning. This includes civil engineering works such as pumping stations and installing electro-mechanical equipment for water distribution from river to household. The company also offers operation and maintenance services for water pipelines.</t>
  </si>
  <si>
    <t>V.L.Infraprojects Ltd</t>
  </si>
  <si>
    <t xml:space="preserve">FY24:REV 114(147%)/PAT 6(5.26%) 
FY25:REV 142(25%)/PAT 7.84(5.5%) </t>
  </si>
  <si>
    <t>VVIP</t>
  </si>
  <si>
    <r>
      <t xml:space="preserve">Q1FY25 125Cr(% YOY )//PAT 7Cr(PAT Margin 5.6%) /// </t>
    </r>
    <r>
      <rPr>
        <b/>
        <sz val="11"/>
        <color rgb="FFFF0000"/>
        <rFont val="Arial"/>
        <family val="2"/>
      </rPr>
      <t>FY25 535(30% YOY )//PAT 30Cr(PAT Margin 5.6%) OR PAT 5.85%</t>
    </r>
    <r>
      <rPr>
        <b/>
        <sz val="11"/>
        <color theme="1"/>
        <rFont val="Arial"/>
        <family val="2"/>
      </rPr>
      <t xml:space="preserve">
FY24 411(64.4% YOY )//PAT 23.22Cr(PAT Margin 5.6%)  [Q1FY24 96(YOY )+Q1FY24 96(YOY ) + Q3FY24 110(YOY )+Q4FY24 110(YOY ) ]
FY23 250(% YOY )//PAT 10Cr(PAT Margin 4%)</t>
    </r>
  </si>
  <si>
    <r>
      <t xml:space="preserve">Panning to reach 2000Cr till 2030 //If you talk about corporate car rental industry, it is at INR375 billion and the growth in this segment will be tremendous and we feel as per the studies that we got that this will go up to INR700 billion by 2030. Employee transportation will get slower, but the market size of employee transportation is pretty large at an INR3,000 billion, which will increase at around 5.34%.//We have a good presence across the value chain, whether we talk about car rental, we talk about employee transportation, doing a complete managed services or managing projects at various sites. In terms of healthy financials, we are getting a growth of around 37 year-on-year since the inception of the organisation and we have pretty strong reserves and surpluses as of now.//I think this is for the sake of reputation, but I'll still repeat, corporate car rental market is at a market size of around INR375 billion and poised for a phenomenal growth//, </t>
    </r>
    <r>
      <rPr>
        <b/>
        <sz val="11"/>
        <color rgb="FFFF0000"/>
        <rFont val="Arial"/>
        <family val="2"/>
      </rPr>
      <t>we have around 50 lakh vehicles</t>
    </r>
    <r>
      <rPr>
        <sz val="11"/>
        <color theme="1"/>
        <rFont val="Arial"/>
        <family val="2"/>
      </rPr>
      <t xml:space="preserve"> which are registered as commercial vehicles and similarly the same kind of vehicles are registered as private but are doing the commercial job. </t>
    </r>
  </si>
  <si>
    <r>
      <rPr>
        <b/>
        <sz val="11"/>
        <color rgb="FFFF0000"/>
        <rFont val="Calibri"/>
        <family val="2"/>
      </rPr>
      <t>Q1FY25 81.82 (21.32%YoY Q) //PAT 0.9 (1.1%)</t>
    </r>
    <r>
      <rPr>
        <b/>
        <sz val="11"/>
        <color rgb="FF7030A0"/>
        <rFont val="Calibri"/>
        <family val="2"/>
      </rPr>
      <t xml:space="preserve">  EBITDA margin of 13%. Is it sustainable for the full year FY ‘25 </t>
    </r>
    <r>
      <rPr>
        <b/>
        <sz val="11"/>
        <color rgb="FF000000"/>
        <rFont val="Calibri"/>
        <family val="2"/>
      </rPr>
      <t xml:space="preserve"> /   manufactures formulation drugs and pre formulation ingredients (KIDS Pediatrics Drug Formula) Business Focus: Strong emphasis on exports, which constitute 80% of their revenue.</t>
    </r>
  </si>
  <si>
    <t>grant of Marketing Authorization for Azithromycin for Oral Suspension 200 mg/5ml (40 mg/ml) in Portugal, Europe to the Wholly owned European Subsidiary of the company. ///Total operating income increased
21.4% YoY; ₹818 Mn in Q1FY25 vs ₹674 Mn in Q1FY24</t>
  </si>
  <si>
    <r>
      <rPr>
        <b/>
        <sz val="11"/>
        <color rgb="FF7030A0"/>
        <rFont val="Arial"/>
        <family val="2"/>
      </rPr>
      <t>Q1FY25 16.23(50.84%)//PAT 2.35(14.4%)  ///FY25 120(50%)//PAT 20(12%) Q4FY24 22.1(%)//PAT 2.69(PAT Margin14.4%)</t>
    </r>
    <r>
      <rPr>
        <b/>
        <sz val="11"/>
        <color theme="1"/>
        <rFont val="Arial"/>
        <family val="2"/>
      </rPr>
      <t xml:space="preserve">
FY24 67.3(161%)//PAT 7.8(11.59%)  ///FY23 25.73(18%)//PAT 1.96(14%)  ////The management has guided 60% - 70% CAGR growth in the next three years  Along with this they expect 70% - 100% growth in their revenue and multifold jump in their PAT margins.</t>
    </r>
  </si>
  <si>
    <t>Ztech</t>
  </si>
  <si>
    <t>Asset Light model // 6 Theme Parks Developed// 15 Upcoming Theme Parks//75+Team Size //55+Clients//30+Completed Projects//49+ Ongoing Projects//145 Cr Worth Total Order Book//FY24 ROE – 39.12% ROCE – 36.88%
Business Segments :Sustainable Theme Park Development // Industrial Waste Water Management //Geo Technical Specialized Solutions
Dedicated lab for technology development and customization// Tie-ups with analytical laboratories across India
Strong presence in more than 20 states across India //Majority of the revenue come from North India
2024 :Listing of shares on NSE-Emerge//Happiness park opened in Lucknow</t>
  </si>
  <si>
    <t>type</t>
  </si>
  <si>
    <t>PERC</t>
  </si>
  <si>
    <t>FUND</t>
  </si>
  <si>
    <t>TOTAL INVESTMENT</t>
  </si>
  <si>
    <t>Stocks</t>
  </si>
  <si>
    <t>Bajaj Finance</t>
  </si>
  <si>
    <t>LARGCAP</t>
  </si>
  <si>
    <t>GROWW</t>
  </si>
  <si>
    <t>ACCOUNT</t>
  </si>
  <si>
    <t>Current Value</t>
  </si>
  <si>
    <t>PROFIT BOOKED</t>
  </si>
  <si>
    <t>PROFIT(Unrelized)</t>
  </si>
  <si>
    <t>MF</t>
  </si>
  <si>
    <t>Parag Parikh Flexi Cap Fund</t>
  </si>
  <si>
    <t>Equity - Flexi Cap</t>
  </si>
  <si>
    <t>zerodha</t>
  </si>
  <si>
    <t>sharekhan-1</t>
  </si>
  <si>
    <t>Kotak Emerging Equity Fund</t>
  </si>
  <si>
    <t>Equity - Mid Cap</t>
  </si>
  <si>
    <t>ICICIBANK</t>
  </si>
  <si>
    <t>Sharekhan</t>
  </si>
  <si>
    <t>DSP Small Cap fund(G)-Direct Plan (MF)</t>
  </si>
  <si>
    <t>SMALLCAP</t>
  </si>
  <si>
    <t>Hdfc</t>
  </si>
  <si>
    <t>Zerodha</t>
  </si>
  <si>
    <t>Nippon India Multi Cap Fund(G)-Direct Plan</t>
  </si>
  <si>
    <t>MULTICAP</t>
  </si>
  <si>
    <t>katak bank</t>
  </si>
  <si>
    <t>CASH Zerodha</t>
  </si>
  <si>
    <t>Avenue Supermarts</t>
  </si>
  <si>
    <t>CASH sharekhan</t>
  </si>
  <si>
    <t>hcl</t>
  </si>
  <si>
    <t>Polycab India</t>
  </si>
  <si>
    <t>TOTAL In Lac</t>
  </si>
  <si>
    <t>dr reddy</t>
  </si>
  <si>
    <t>Sharekhna</t>
  </si>
  <si>
    <t>Reliance Industries</t>
  </si>
  <si>
    <t>Shareekhan</t>
  </si>
  <si>
    <t>Tata Power Company</t>
  </si>
  <si>
    <t>Zerodha-1</t>
  </si>
  <si>
    <t>SKAHN</t>
  </si>
  <si>
    <t>Power Grid Corporation</t>
  </si>
  <si>
    <t>Zomato</t>
  </si>
  <si>
    <t xml:space="preserve">L&amp;T </t>
  </si>
  <si>
    <t>MAhindra MAhindra</t>
  </si>
  <si>
    <t>tata motors</t>
  </si>
  <si>
    <t>Bharti</t>
  </si>
  <si>
    <t xml:space="preserve">ULTRATECH CEMENT </t>
  </si>
  <si>
    <t>SKHAN</t>
  </si>
  <si>
    <t>AMBUJACEM</t>
  </si>
  <si>
    <t>Macrotech Developers-LODHA</t>
  </si>
  <si>
    <t>Samvardhana Motherson International</t>
  </si>
  <si>
    <t>Shriram Finance</t>
  </si>
  <si>
    <t>LARGECAP</t>
  </si>
  <si>
    <t>Skhan</t>
  </si>
  <si>
    <t>IDFC First Bank</t>
  </si>
  <si>
    <t>MIDCAP</t>
  </si>
  <si>
    <t>Kalyan Jewellers India</t>
  </si>
  <si>
    <t>MUTHOOTMF</t>
  </si>
  <si>
    <t>Skham</t>
  </si>
  <si>
    <t>KPIT Technologies</t>
  </si>
  <si>
    <t>Pl Industries</t>
  </si>
  <si>
    <t>Groww</t>
  </si>
  <si>
    <t xml:space="preserve">L&amp;T FIN (5 STAR)  </t>
  </si>
  <si>
    <t xml:space="preserve">Star Health and Allied Insurance </t>
  </si>
  <si>
    <t>Kaynes Technology India</t>
  </si>
  <si>
    <t>SmallCAP</t>
  </si>
  <si>
    <t>Poonawalla Fincorp</t>
  </si>
  <si>
    <t>Grow</t>
  </si>
  <si>
    <t>BlueDart</t>
  </si>
  <si>
    <t>Cash</t>
  </si>
  <si>
    <t>ZenTECH</t>
  </si>
  <si>
    <t>Power Mech Projects</t>
  </si>
  <si>
    <t>groww</t>
  </si>
  <si>
    <t xml:space="preserve">Rate gain    </t>
  </si>
  <si>
    <t>MODEL PORT</t>
  </si>
  <si>
    <t>SWING TRADING</t>
  </si>
  <si>
    <t>MANORAMA INDSTRY</t>
  </si>
  <si>
    <t>Cbs bank</t>
  </si>
  <si>
    <t>ZERODHA</t>
  </si>
  <si>
    <t>UNIPART</t>
  </si>
  <si>
    <t>POLYPLEX</t>
  </si>
  <si>
    <t>DDEVPLASTIK</t>
  </si>
  <si>
    <t>SHARTHAK METAL</t>
  </si>
  <si>
    <t>Route mobile</t>
  </si>
  <si>
    <t>GOOD LUCK</t>
  </si>
  <si>
    <t>GODAWARI</t>
  </si>
  <si>
    <t>MICRO CAP</t>
  </si>
  <si>
    <t>TOTAL MIcroCAP</t>
  </si>
  <si>
    <t>AVP Infra</t>
  </si>
  <si>
    <t>MicroSmallCAP</t>
  </si>
  <si>
    <t>JAYBEE Lamination</t>
  </si>
  <si>
    <t>MEGATHERM</t>
  </si>
  <si>
    <t>690Cr</t>
  </si>
  <si>
    <t xml:space="preserve">SATTRIX </t>
  </si>
  <si>
    <t>VINSYS</t>
  </si>
  <si>
    <t>535Cr</t>
  </si>
  <si>
    <t>GARGI</t>
  </si>
  <si>
    <t>750 SHARES</t>
  </si>
  <si>
    <t>eClerx Services</t>
  </si>
  <si>
    <t>14314Cr</t>
  </si>
  <si>
    <t>754Cr</t>
  </si>
  <si>
    <t>Kalyani</t>
  </si>
  <si>
    <t>Zerodha-2</t>
  </si>
  <si>
    <t>467Cr</t>
  </si>
  <si>
    <t>STL</t>
  </si>
  <si>
    <t>BAJFINANCE</t>
  </si>
  <si>
    <t>ANDHRAPAP</t>
  </si>
  <si>
    <t>BHARTIARTL</t>
  </si>
  <si>
    <t>PUNJABCHEM</t>
  </si>
  <si>
    <t>TEJASNET</t>
  </si>
  <si>
    <t>WAAREERTL</t>
  </si>
  <si>
    <t>SMLT</t>
  </si>
  <si>
    <t>Zerodha Others</t>
  </si>
  <si>
    <t>DABUR</t>
  </si>
  <si>
    <t>TATAPOWER</t>
  </si>
  <si>
    <t>IDEAFORGE</t>
  </si>
  <si>
    <t>RAJESHEXPO</t>
  </si>
  <si>
    <t>RSSOFTWARE</t>
  </si>
  <si>
    <t>SONACOMS</t>
  </si>
  <si>
    <t>SKHAN OTHERS</t>
  </si>
  <si>
    <t>ROUTE</t>
  </si>
  <si>
    <t>POLYCAB</t>
  </si>
  <si>
    <t>NEED TO SELL</t>
  </si>
  <si>
    <t>KAYNES</t>
  </si>
  <si>
    <t>POWERMECH</t>
  </si>
  <si>
    <t>ZERODHA OTHERS</t>
  </si>
  <si>
    <t>JKAGRI</t>
  </si>
  <si>
    <t>KPITTECH</t>
  </si>
  <si>
    <t>LTF</t>
  </si>
  <si>
    <t>RAMCOIND</t>
  </si>
  <si>
    <t>StockName</t>
  </si>
  <si>
    <t>CurrentQty</t>
  </si>
  <si>
    <t>HoldingValue</t>
  </si>
  <si>
    <t>MarketValue</t>
  </si>
  <si>
    <t>UnRealizedGain/Loss</t>
  </si>
  <si>
    <t>AVPINFRA-ST</t>
  </si>
  <si>
    <t>MICRO</t>
  </si>
  <si>
    <t>Godawari</t>
  </si>
  <si>
    <t>GOODLUCK</t>
  </si>
  <si>
    <t>IDFCFIRSTB</t>
  </si>
  <si>
    <t>JAYBEE</t>
  </si>
  <si>
    <t>KALYANJEWELLERS</t>
  </si>
  <si>
    <t>LT</t>
  </si>
  <si>
    <t>MEGATHERM-SM</t>
  </si>
  <si>
    <t>PIIND</t>
  </si>
  <si>
    <t>POONAWALLA</t>
  </si>
  <si>
    <t>SMALL</t>
  </si>
  <si>
    <t>QMSMEDI-SM</t>
  </si>
  <si>
    <t>RATEGAIN</t>
  </si>
  <si>
    <t>RELIANCE</t>
  </si>
  <si>
    <t>STARHEALTH</t>
  </si>
  <si>
    <t>TATAMOTORS</t>
  </si>
  <si>
    <t>TINNARUBR</t>
  </si>
  <si>
    <t>UNIPARTS</t>
  </si>
  <si>
    <t>VINSYS-SM</t>
  </si>
  <si>
    <t>Voltameter</t>
  </si>
  <si>
    <t>WTICAB-SM</t>
  </si>
  <si>
    <t>Zentech</t>
  </si>
  <si>
    <t>ZOMATO</t>
  </si>
  <si>
    <r>
      <t xml:space="preserve">FY25:REV 890(2%)/PAT 88(9.86%) TAX 8% ///  will be Q1 227 / 21 CR PAT  (Q1FY25 2% YoY)   ///  FY24:REV 873(2%)/PAT86(9.86%) TAX 8%.  /////  company's commitment to sustainability and growth through various projects like Waste-to-Energy, </t>
    </r>
    <r>
      <rPr>
        <b/>
        <sz val="11"/>
        <color rgb="FFC00000"/>
        <rFont val="Arial"/>
        <family val="2"/>
      </rPr>
      <t>biomethanation, and waste processin</t>
    </r>
    <r>
      <rPr>
        <sz val="11"/>
        <color theme="1"/>
        <rFont val="Arial"/>
        <family val="2"/>
      </rPr>
      <t>g. Antony Waste demonstrated a strategic approach with a focus on ESG performance</t>
    </r>
  </si>
  <si>
    <r>
      <t>Q1FY24:REV 222(%)/PAT 23(10.36%) TAX35%.  and OPM 20%
Q4FY24:REV 210(3.96%)/PAT 30(14.29%)</t>
    </r>
    <r>
      <rPr>
        <b/>
        <sz val="11"/>
        <color rgb="FFFF0000"/>
        <rFont val="Arial"/>
        <family val="2"/>
      </rPr>
      <t>TAX -134% and OPM 17%</t>
    </r>
    <r>
      <rPr>
        <sz val="11"/>
        <color theme="1"/>
        <rFont val="Arial"/>
        <family val="2"/>
      </rPr>
      <t xml:space="preserve">
Q1FY25:REV 246(11%)/PAT 25(10.36%</t>
    </r>
    <r>
      <rPr>
        <b/>
        <sz val="11"/>
        <color rgb="FFC00000"/>
        <rFont val="Arial"/>
        <family val="2"/>
      </rPr>
      <t>)If TAX35%.    /////I am pleased to inform that we have already successfully tested the C&amp;D plant and it met all the performance parameter positively. Additionally, we will commence commercial operations at the CIDCO Biomining Site in the first quarter of FY '25</t>
    </r>
    <r>
      <rPr>
        <sz val="11"/>
        <color theme="1"/>
        <rFont val="Arial"/>
        <family val="2"/>
      </rPr>
      <t>//Another new project in the processing phase was the company securing a biomining contract in CIDCO valued at approximately INR77 crores in which the company will process about 8.6 lakh tons of legacy waste over 2 years</t>
    </r>
  </si>
  <si>
    <r>
      <rPr>
        <b/>
        <sz val="11"/>
        <color rgb="FFC00000"/>
        <rFont val="Arial"/>
        <family val="2"/>
      </rPr>
      <t xml:space="preserve">Q1FY25 636(47.3%Yoy Q) //PAT 24.5(3.71%) </t>
    </r>
    <r>
      <rPr>
        <sz val="11"/>
        <color theme="1"/>
        <rFont val="Arial"/>
        <family val="2"/>
      </rPr>
      <t xml:space="preserve"> ////FY24 2129 Cr/PAT 96(4.5%) 
Q4FY24 598 PAT 24 (4%) 
Q3FY24 622 PAT 33 (5.3%) 
Q2FY24 481 PAT 20 (4.16%) 
Q1FY24 429 PAT 20 (4.66%)  /// Rev 2129cr /EBITA 198.73 Cr 9.33%  --&gt; 96Cr PAT 4.5% /// I</t>
    </r>
    <r>
      <rPr>
        <b/>
        <sz val="11"/>
        <color theme="1"/>
        <rFont val="Arial"/>
        <family val="2"/>
      </rPr>
      <t>NR 1,750 crores will be the revenue derived from this ethanol and the ENA business from both the plants</t>
    </r>
    <r>
      <rPr>
        <sz val="11"/>
        <color theme="1"/>
        <rFont val="Arial"/>
        <family val="2"/>
      </rPr>
      <t xml:space="preserve"> //we are slowly taking back our exposure from the vegetable oil segment //mostly our revenue will be and concentration would be on this ethanol and ENA and biodiesel.Phased Exit from Edible Oil Business The company will implement a </t>
    </r>
    <r>
      <rPr>
        <b/>
        <sz val="11"/>
        <color rgb="FFFF0000"/>
        <rFont val="Arial"/>
        <family val="2"/>
      </rPr>
      <t>phased exit from the edible oil business in FY 24-25</t>
    </r>
    <r>
      <rPr>
        <sz val="11"/>
        <color theme="1"/>
        <rFont val="Arial"/>
        <family val="2"/>
      </rPr>
      <t xml:space="preserve">. The company expects full capacity utilization of its 700 KLPD distillery in FY 24-25 o Expected revenue: Over Rs1,750 crores from distillery operations/Distillery EBITA 13%  ///  FY24 2129 
   EBITA 13% --&gt;254 Extra neutral alcohol (ENA) type of ethanol that contains at least 96% alcohol by volume (ABV) + 853 Ethanol is a renewable fuel made from corn and other plant materials. Ethanol use is widespread, and more than 98% of gasoline in the U.S. contains some ethanol.  +  EBITA 2.6 % --&gt; 831 CR Edible Oil  + 7 cr real state.  </t>
    </r>
    <r>
      <rPr>
        <b/>
        <u/>
        <sz val="11"/>
        <color theme="1"/>
        <rFont val="Arial"/>
        <family val="2"/>
      </rPr>
      <t xml:space="preserve">MY PROJECTION PAT 6.5%   </t>
    </r>
    <r>
      <rPr>
        <b/>
        <sz val="11"/>
        <color theme="1"/>
        <rFont val="Arial"/>
        <family val="2"/>
      </rPr>
      <t xml:space="preserve">    </t>
    </r>
    <r>
      <rPr>
        <b/>
        <sz val="11"/>
        <color rgb="FF7030A0"/>
        <rFont val="Arial"/>
        <family val="2"/>
      </rPr>
      <t>Q1FY25 :--&gt; 397 [ENA(40cr)+ ETHANOL(357Cr)]  //PAT ?Cr (?%)
            + 73 Others  //PAT ?Cr (?%)  ===468 CR Distillery (ETHANOL 76%)
            + 188 oil PAT ?Cr % 
            + 3.4 RealState</t>
    </r>
    <r>
      <rPr>
        <sz val="11"/>
        <color theme="1"/>
        <rFont val="Arial"/>
        <family val="2"/>
      </rPr>
      <t xml:space="preserve">   /// </t>
    </r>
    <r>
      <rPr>
        <b/>
        <sz val="11"/>
        <color rgb="FF7030A0"/>
        <rFont val="Arial"/>
        <family val="2"/>
      </rPr>
      <t>FY25 Ethanol 1750 PAT 113.75 (6.5%)</t>
    </r>
    <r>
      <rPr>
        <sz val="11"/>
        <color theme="1"/>
        <rFont val="Arial"/>
        <family val="2"/>
      </rPr>
      <t xml:space="preserve">  +  </t>
    </r>
    <r>
      <rPr>
        <b/>
        <sz val="11"/>
        <color rgb="FF7030A0"/>
        <rFont val="Arial"/>
        <family val="2"/>
      </rPr>
      <t xml:space="preserve"> FY25 OIL 500  PAT 6.5cr (1.3%) = 2250Cr SALES/PAT120Cr</t>
    </r>
  </si>
  <si>
    <t>FY25 1110(40%Yoy Q) //PAT 222(20%)         Q1FY25 206(49.28%Yoy Q) //PAT 37(17.96%)
FY24 793(47.4%Yoy Q) //PAT 153(19.29%)
FY23 538 //PAT 109(13.75%)</t>
  </si>
  <si>
    <t xml:space="preserve">We expect to maintain similar trajectory. Growth will be in this range of 35%, 40%.  ////Value of our unexecuted orders is about Rs. 1,835 crores in which 2 order in which are L1.
One order is of Vikas Nagar for water supply and sewage whose value is Rs. 478 crores and
one order is of Rs. 35 crores in Meerut and apart from this we have bid works worth Rs. 4,000
whose results are expected within coming month. </t>
  </si>
  <si>
    <t>In FY '25, we intend to add
approximately 20 boutiques. We intend to keep growing our physical network in the years to
come.</t>
  </si>
  <si>
    <t>guidance of Rs. 2,500 crore by FY26 ///Q1FY25 474(Yoy Q) //PAT 88 (%)
Q1FY24 380(Yoy Q) //PAT 44 (%)</t>
  </si>
  <si>
    <r>
      <rPr>
        <b/>
        <sz val="11"/>
        <color rgb="FF7030A0"/>
        <rFont val="Arial"/>
        <family val="2"/>
      </rPr>
      <t>FY25 500 (32%)//PAT 32 (6.73%)</t>
    </r>
    <r>
      <rPr>
        <b/>
        <sz val="11"/>
        <color theme="1"/>
        <rFont val="Arial"/>
        <family val="2"/>
      </rPr>
      <t xml:space="preserve">
FY24 378(21%) //PAT 26 (6.88%)
FY23 312 //PAT 21 (6.73%) //Ice Make aims to achieve Rs. 500 crores in revenue in the current fiscal year and continues to expand its product portfolio to meet market demand.  //// We will continue to focus on expanding our product portfolio and enhancing our market presence as we aim to achieve Rs. 500 crores revenue milestone in current fiscal year 2025.The product line which we are going to do is a new product like Chest Freezer or Visi Cooler, so that product is not in our product portfolio,so it will be our additional revenue. Besides current businessthisis our new business,so it will be added to the revenue That production line can increase the topline by Rs. 100 crores to Rs. 145 crores.October or November. At least third quarter it will be operative.. One is Continuous PUF Panel which </t>
    </r>
    <r>
      <rPr>
        <b/>
        <sz val="11"/>
        <color rgb="FFC00000"/>
        <rFont val="Arial"/>
        <family val="2"/>
      </rPr>
      <t>we think we can start manufacturing in October or November and other is Commercial Refrigeration which we told in last AGM also that</t>
    </r>
    <r>
      <rPr>
        <b/>
        <sz val="11"/>
        <color theme="1"/>
        <rFont val="Arial"/>
        <family val="2"/>
      </rPr>
      <t xml:space="preserve"> we will start Commercial Refrigeration work. Its machinery has already being ordered, advance has been done, technical approval has been given and I think we will do its manufacturing in November and December. So may be in last quarter of this current year we may get support from this Commercial product in our topline. after next 2 years, it can give a value of Rs. 125 crores extra to the topline.</t>
    </r>
  </si>
  <si>
    <r>
      <rPr>
        <b/>
        <sz val="11"/>
        <color rgb="FF7030A0"/>
        <rFont val="Arial"/>
        <family val="2"/>
      </rPr>
      <t>FY24 314 (40%Yoy Q)//PAT 45(14.3%)</t>
    </r>
    <r>
      <rPr>
        <b/>
        <sz val="11"/>
        <color theme="1"/>
        <rFont val="Arial"/>
        <family val="2"/>
      </rPr>
      <t xml:space="preserve">
</t>
    </r>
    <r>
      <rPr>
        <b/>
        <sz val="11"/>
        <color rgb="FFFF0000"/>
        <rFont val="Arial"/>
        <family val="2"/>
      </rPr>
      <t xml:space="preserve">Q1FY25 86.19(-1.5%Yoy Q)//PAT 1.17(1%)  </t>
    </r>
    <r>
      <rPr>
        <b/>
        <sz val="11"/>
        <color theme="1"/>
        <rFont val="Arial"/>
        <family val="2"/>
      </rPr>
      <t xml:space="preserve"> ///Our order book as of 31st March stood at approximately INR125 crores and we are closely monitoring an L1 pipeline of INR300 plus crores with expected progress in the coming quarters and more is expected to be added to this L1 pipeline very soon.///Ideaforge Technology Ltd </t>
    </r>
    <r>
      <rPr>
        <b/>
        <sz val="11"/>
        <color rgb="FFFF0000"/>
        <rFont val="Arial"/>
        <family val="2"/>
      </rPr>
      <t>Our order book as of 30th June stood at approximately INR 54.2 crores. We are closely working on our L1 pipeline of INR 300 plus crores</t>
    </r>
    <r>
      <rPr>
        <b/>
        <sz val="11"/>
        <color theme="1"/>
        <rFont val="Arial"/>
        <family val="2"/>
      </rPr>
      <t>.// our business cannot be evaluated on a QoQ basis. We are a technology innovation company and hence, while revenues do not grow on a QoQ basis, we continue to invest in product development on an ongoing basis. // PAT 1.4%. There are certain expenses that are fixed  in nature. Hence, with the dip in revenues, operating leverage did not play out. We expect with the increase in revenues, the same will be absorbed leading to better margins in the future. These numbers are as per our expectations and as we demonstrated in FY24, we are confident of growth in FY25 as well, despite variations in quarterly performance.</t>
    </r>
  </si>
  <si>
    <t xml:space="preserve">Guidline Need to check </t>
  </si>
  <si>
    <t>Ion Exchange (India) Ltd</t>
  </si>
  <si>
    <t>Q1FY25:REV 568(18.58%)/PAT 45(7.92%)//FY25:REV 2700(15%)/PAT 225(8.3%)    /// FY24:REV 2348(16%)/PAT 195(8.30%)   // overall Capex for the Roha is justunder Rs. 400 crores. expecting the commercialization in FY '25-'26 of this Roha facility (Spent Rs. 250 crores to Rs. 300 crores) ///Total investment includes capex for backward integration of roughly 125 crores and asset turnover of around 2 times should be calculated on the figure of 275 crores. 80% Debt + Around 20% will be from the internal accruals for financing the Roha
project</t>
  </si>
  <si>
    <r>
      <t xml:space="preserve">60% EPC(77% Domestic) like Wabag but Small Orders  + O&amp;M + 30%Rev , </t>
    </r>
    <r>
      <rPr>
        <b/>
        <sz val="11"/>
        <color rgb="FFC00000"/>
        <rFont val="Arial"/>
        <family val="2"/>
      </rPr>
      <t>ROCE 90% Chemical</t>
    </r>
    <r>
      <rPr>
        <b/>
        <sz val="11"/>
        <color theme="1"/>
        <rFont val="Arial"/>
        <family val="2"/>
      </rPr>
      <t xml:space="preserve"> +10% Consumer</t>
    </r>
  </si>
  <si>
    <r>
      <t xml:space="preserve">ROCE 61.0 % ROE 85.4 % /// 30% of the revenues come from DI pipes and is expected to grow to 45%-50% by FY25-26 ///“JAL JEEVAN MISSION” and “MISSION AMRUT SAROVAR” infrastructure development plan has led to increased requirement of DI Pipes and Jai Balaji is contributing to the same  DI Pipes Industry is expected to grow at 13%-15% CAGR in near future. It is used for water transportation and drainage system //Co. has around 10% of the DI pipes market of India and aims to reach 15%-20% of Market Share, post capacity expansion.  //Co. has </t>
    </r>
    <r>
      <rPr>
        <b/>
        <sz val="11"/>
        <color rgb="FFC00000"/>
        <rFont val="Arial"/>
        <family val="2"/>
      </rPr>
      <t>Long Term</t>
    </r>
    <r>
      <rPr>
        <b/>
        <sz val="11"/>
        <color theme="1"/>
        <rFont val="Arial"/>
        <family val="2"/>
      </rPr>
      <t xml:space="preserve"> Contracts with Indian as well as International Clients. //</t>
    </r>
    <r>
      <rPr>
        <b/>
        <sz val="11"/>
        <color rgb="FFC00000"/>
        <rFont val="Arial"/>
        <family val="2"/>
      </rPr>
      <t>25%-30% Revenue Growth //17%-18% EBITDA Margin</t>
    </r>
    <r>
      <rPr>
        <b/>
        <sz val="11"/>
        <color theme="1"/>
        <rFont val="Arial"/>
        <family val="2"/>
      </rPr>
      <t xml:space="preserve"> //Rs. 3,000-3,500 Mn CAPEX.  /////Focus on DI Pipes,Specialized Ferro Alloys and Value-added Products
C</t>
    </r>
    <r>
      <rPr>
        <b/>
        <sz val="11"/>
        <color rgb="FFC00000"/>
        <rFont val="Arial"/>
        <family val="2"/>
      </rPr>
      <t>apacity commissioning by FY25 - - DI Pipes capacity expected to grow by 175% to 6.6L TPA  - Ferro Alloys capacity is expected grow by 46% to 1.9L TPA //</t>
    </r>
    <r>
      <rPr>
        <b/>
        <sz val="11"/>
        <color rgb="FF002060"/>
        <rFont val="Arial"/>
        <family val="2"/>
      </rPr>
      <t xml:space="preserve">Nearly 50% revenues are derived from value-added and specialised products (DI pipes and Specialised Ferro alloys   </t>
    </r>
    <r>
      <rPr>
        <b/>
        <sz val="11"/>
        <color rgb="FFC00000"/>
        <rFont val="Arial"/>
        <family val="2"/>
      </rPr>
      <t xml:space="preserve">                                                                                                                                                     </t>
    </r>
    <r>
      <rPr>
        <b/>
        <sz val="11"/>
        <color theme="1"/>
        <rFont val="Arial"/>
        <family val="2"/>
      </rPr>
      <t xml:space="preserve"> </t>
    </r>
  </si>
  <si>
    <r>
      <rPr>
        <b/>
        <sz val="11"/>
        <color rgb="FFC00000"/>
        <rFont val="Arial"/>
        <family val="2"/>
      </rPr>
      <t>Q1FY25 1718(15.85%Yoy Q) //PAT 209(12.17%)</t>
    </r>
    <r>
      <rPr>
        <b/>
        <sz val="11"/>
        <color theme="1"/>
        <rFont val="Arial"/>
        <family val="2"/>
      </rPr>
      <t xml:space="preserve">
Q1FY24 1483//PAT 170(11.46%) My Projection</t>
    </r>
    <r>
      <rPr>
        <b/>
        <sz val="11"/>
        <color rgb="FFC00000"/>
        <rFont val="Arial"/>
        <family val="2"/>
      </rPr>
      <t xml:space="preserve"> FY25 7568(18%)//PAT 1060(14%)</t>
    </r>
    <r>
      <rPr>
        <b/>
        <sz val="11"/>
        <color theme="1"/>
        <rFont val="Arial"/>
        <family val="2"/>
      </rPr>
      <t xml:space="preserve">OR My Projection FY25 Rev 8018(25%)/PAT 1200(15%)  //// </t>
    </r>
    <r>
      <rPr>
        <b/>
        <sz val="11"/>
        <color rgb="FF7030A0"/>
        <rFont val="Arial"/>
        <family val="2"/>
      </rPr>
      <t>FY24 6414//PAT 880(13.72%)</t>
    </r>
    <r>
      <rPr>
        <b/>
        <sz val="11"/>
        <color theme="1"/>
        <rFont val="Arial"/>
        <family val="2"/>
      </rPr>
      <t xml:space="preserve"> ////JVIL will now work to maintain this performance going forward. The company also aims to be net-debt free within the next 12 months and plans to undertake the capex of INR1,000 crores  from internal accruals entirely and out of this INR1,000 crores of capex, around 685 crores has 
already been incurred by intemal accruals till Q1 FY '25. //we will achieve our goal of becoming a net debt free company. Our FY 25 
guidance is to reduce net debt to INR225-INR250 crores by the end of FY '25.</t>
    </r>
  </si>
  <si>
    <r>
      <rPr>
        <b/>
        <sz val="11"/>
        <color rgb="FF7030A0"/>
        <rFont val="Arial"/>
        <family val="2"/>
      </rPr>
      <t xml:space="preserve">FY25 500(Yoy Q) //PAT 67(13.55%) ////Q1FY25 85.48 (28%Yoy Q) //PAT 11.58(13.55%) EBITDA Margin: 21.59% </t>
    </r>
    <r>
      <rPr>
        <b/>
        <sz val="11"/>
        <color theme="1"/>
        <rFont val="Arial"/>
        <family val="2"/>
      </rPr>
      <t xml:space="preserve">
Q4FY24 121.5 (Yoy Q) //PAT 22.77(18.74%)
Q1FY24 66.68 (Yoy Q) //PAT 7.10(10.63%)
FY24 329.48(Yoy Q) //PAT 51.31 (15.57%)
</t>
    </r>
    <r>
      <rPr>
        <b/>
        <sz val="11"/>
        <color rgb="FF7030A0"/>
        <rFont val="Arial"/>
        <family val="2"/>
      </rPr>
      <t>Diversified Order Backlog: Rs. 371 Crores (as of June 30, 2024</t>
    </r>
    <r>
      <rPr>
        <b/>
        <sz val="11"/>
        <color theme="1"/>
        <rFont val="Arial"/>
        <family val="2"/>
      </rPr>
      <t>) ///Dryers &amp; Coolers, Adsorption System, Oil &amp; Gas industry packages, Fabricated Equipment, Heat Transfer Systems among others. Their applications range from drying and processing of materials, such as PVC, Carbon Black, Soda Ash, Sodium Cyanide, Rubber, Heavy Chemicals, Sewage, to Sugar, among others.[1] KEL continued to be the market leader in the manufacture of tea dryers in the industry.</t>
    </r>
  </si>
  <si>
    <r>
      <t>Customize Product as no competition  with CHINA. Feb 21, 2024 Kilburn Engineering acquires M E Energy to strengthen thermal 
portfolio/ Kilburn Engineering Ltd (KEL) has acquired M E Energy Private Ltd, a prominent player in waste heat recovery and reutilization systems, for Rs 98.70 crore. This strategic move aims to establish KEL as a comprehensive solution provider in the thermal engineering sector//</t>
    </r>
    <r>
      <rPr>
        <b/>
        <sz val="11"/>
        <color rgb="FF7030A0"/>
        <rFont val="Arial"/>
        <family val="2"/>
      </rPr>
      <t>Right now, our target is to close ₹500 croresin the current financial.</t>
    </r>
    <r>
      <rPr>
        <b/>
        <sz val="11"/>
        <color theme="1"/>
        <rFont val="Arial"/>
        <family val="2"/>
      </rPr>
      <t xml:space="preserve">//Board Meeting will be held on 26th August, 2024, to consider Fund Raise. 
</t>
    </r>
    <r>
      <rPr>
        <b/>
        <sz val="11"/>
        <color rgb="FFFF0000"/>
        <rFont val="Arial"/>
        <family val="2"/>
      </rPr>
      <t>(ACQUISITION) Company announced the proposed acquisition of Monga Strayfield Pvt. Ltd., a global leader in radio frequency drying</t>
    </r>
    <r>
      <rPr>
        <b/>
        <sz val="11"/>
        <color theme="1"/>
        <rFont val="Arial"/>
        <family val="2"/>
      </rPr>
      <t xml:space="preserve"> and heating solutions, for a total consideration up to INR 123 Cr. Target Company brings over five decades of expertise in radio frequency drying and heating solutions, alongside a strong presence in the sheet metal fabrication industry, catering to both the USA and European markets. In FY24, the company reported a total revenue of</t>
    </r>
    <r>
      <rPr>
        <b/>
        <sz val="11"/>
        <color rgb="FFFF0000"/>
        <rFont val="Arial"/>
        <family val="2"/>
      </rPr>
      <t xml:space="preserve"> INR 72.9 Cr, a PAT of INR 15.4 Cr.</t>
    </r>
  </si>
  <si>
    <r>
      <t xml:space="preserve"> FY25 4791(20% YOY )//PAT 1440(PAT Margin 30%) OR FY25 4791(20% YOY )//PAT 1680(PAT Margin 35%) 
</t>
    </r>
    <r>
      <rPr>
        <b/>
        <sz val="11"/>
        <color rgb="FF7030A0"/>
        <rFont val="Calibri"/>
        <family val="2"/>
        <scheme val="minor"/>
      </rPr>
      <t xml:space="preserve">Expected PAT Total 1,866 as below </t>
    </r>
    <r>
      <rPr>
        <b/>
        <sz val="11"/>
        <color theme="1"/>
        <rFont val="Calibri"/>
        <family val="2"/>
        <scheme val="minor"/>
      </rPr>
      <t xml:space="preserve">
Q2FY25 1237(20% YOY )//PAT 432(PAT Margin 35%)
Q3FY25 910(20% YOY )//PAT 318(PAT Margin 35%)
Q4FY25 1281(20% YOY )//PAT 448(PAT Margin 35%)
</t>
    </r>
    <r>
      <rPr>
        <b/>
        <sz val="11"/>
        <color rgb="FF7030A0"/>
        <rFont val="Calibri"/>
        <family val="2"/>
        <scheme val="minor"/>
      </rPr>
      <t xml:space="preserve">Q1FY25 1363(19.56% YOY )//PAT 668(PAT Margin 49%)
</t>
    </r>
    <r>
      <rPr>
        <b/>
        <sz val="11"/>
        <color theme="1"/>
        <rFont val="Calibri"/>
        <family val="2"/>
        <scheme val="minor"/>
      </rPr>
      <t xml:space="preserve">
FY24 3999(47.7% YOY )//PAT 1388(PAT Margin 34%)
 Q1FY24 1140(% YOY )//PAT 420(PAT Margin 36.84%)
FY23 2707(% YOY )//PAT 715(PAT Margin %)
G</t>
    </r>
    <r>
      <rPr>
        <b/>
        <sz val="12"/>
        <color rgb="FF7030A0"/>
        <rFont val="Calibri"/>
        <family val="2"/>
        <scheme val="minor"/>
      </rPr>
      <t>reater than 20% growth in profit/we are looking at about 20% comfortably  /   Pharma Export Formulations : 76% Domestic Formulations : 13% API: 6% Agchem : 2%</t>
    </r>
  </si>
  <si>
    <r>
      <t>4th July 2024 in Mumbai, organized by ICICI Securities  // news article on its potential acquisition in the RoW market//Quarterly guidance we're not giving,</t>
    </r>
    <r>
      <rPr>
        <b/>
        <sz val="12"/>
        <color rgb="FF7030A0"/>
        <rFont val="-Apple-System"/>
      </rPr>
      <t xml:space="preserve">#August 13, 2024 </t>
    </r>
    <r>
      <rPr>
        <sz val="12"/>
        <color theme="1"/>
        <rFont val="-Apple-System"/>
        <charset val="1"/>
      </rPr>
      <t xml:space="preserve"> I can't give you such precise numbers. </t>
    </r>
    <r>
      <rPr>
        <b/>
        <sz val="12"/>
        <color rgb="FFFF0000"/>
        <rFont val="-Apple-System"/>
      </rPr>
      <t>I can say Q2 should also do very well. I think like Q1 it should do well.</t>
    </r>
    <r>
      <rPr>
        <sz val="12"/>
        <color theme="1"/>
        <rFont val="-Apple-System"/>
        <charset val="1"/>
      </rPr>
      <t xml:space="preserve"> Overall, for the year we're giving guidance of a</t>
    </r>
    <r>
      <rPr>
        <b/>
        <sz val="12"/>
        <color theme="1"/>
        <rFont val="-Apple-System"/>
      </rPr>
      <t xml:space="preserve"> 20% growth over last year's number</t>
    </r>
    <r>
      <rPr>
        <sz val="12"/>
        <color theme="1"/>
        <rFont val="-Apple-System"/>
        <charset val="1"/>
      </rPr>
      <t>. So last year I think our profit was little less than I</t>
    </r>
    <r>
      <rPr>
        <b/>
        <sz val="12"/>
        <color theme="1"/>
        <rFont val="-Apple-System"/>
      </rPr>
      <t>NR1,400 crores</t>
    </r>
    <r>
      <rPr>
        <sz val="12"/>
        <color theme="1"/>
        <rFont val="-Apple-System"/>
        <charset val="1"/>
      </rPr>
      <t>. So, on that, they're s</t>
    </r>
    <r>
      <rPr>
        <b/>
        <sz val="12"/>
        <color theme="1"/>
        <rFont val="-Apple-System"/>
      </rPr>
      <t>aying we'll grow at least 20%.</t>
    </r>
  </si>
  <si>
    <r>
      <rPr>
        <b/>
        <sz val="11"/>
        <color rgb="FFC00000"/>
        <rFont val="Arial"/>
        <family val="2"/>
      </rPr>
      <t>Acquisition of Valens which would enables us to provide turnkey services• Partial repayment of ARC Debt.• Clocked Rs. 1000 Crore Revenue</t>
    </r>
    <r>
      <rPr>
        <b/>
        <sz val="11"/>
        <color theme="1"/>
        <rFont val="Arial"/>
        <family val="2"/>
      </rPr>
      <t xml:space="preserve"> ////Overall, our progress during Q1FY25 has been robust, setting a solid foundation for continued growth
throughout FY25. We remain committed to driving operational efficiencies, expanding our market
presence, and delivering value to our stakeholders. The favorable business environment and increasing
demand across various sectors provide a promising outlook for our company as we navigate the
opportunities and challenges ahead.</t>
    </r>
  </si>
  <si>
    <t>Paushak Ltd</t>
  </si>
  <si>
    <r>
      <rPr>
        <b/>
        <sz val="11"/>
        <color rgb="FFFF0000"/>
        <rFont val="Arial"/>
        <family val="2"/>
      </rPr>
      <t>Q1FY25 52(18% YoY)//PAT 10(19.23%)</t>
    </r>
    <r>
      <rPr>
        <b/>
        <sz val="11"/>
        <color theme="1"/>
        <rFont val="Arial"/>
        <family val="2"/>
      </rPr>
      <t xml:space="preserve"> //FY25 ?(%)//PAT ?(%)
Q4FY24 54(18%)//PAT 18(%)
FY24 206(-2.8% Yoy)//PAT 54Cr(26%)
FY23 212(18%)//PAT 54(25.47%)</t>
    </r>
  </si>
  <si>
    <t>Q1FY25 192.5(18.5% YoY)//PAT 33(17.19%)   //Q4FY24 162//PAT 18(11.11%)</t>
  </si>
  <si>
    <r>
      <t>We continue to receive strong, positive feedback for our quartz from customers in new geographies like Canada, France, Mexico, and Russia //The US residential remodeling sector continues to experience strain as inflation and future  uncertainties lead consumers to delay major discretionary purchases.   • Wearefocusing on managing the aspects of our business within our control, such as working on
 launching innovative quartz products.  • Expect shipping / freight expenses to remain elevated in the near term.// I</t>
    </r>
    <r>
      <rPr>
        <b/>
        <sz val="11"/>
        <color rgb="FFC00000"/>
        <rFont val="Arial"/>
        <family val="2"/>
      </rPr>
      <t>nstallation of Kreos, a new-generation mixture extrusion and distribution system</t>
    </r>
    <r>
      <rPr>
        <b/>
        <sz val="11"/>
        <color theme="1"/>
        <rFont val="Arial"/>
        <family val="2"/>
      </rPr>
      <t xml:space="preserve"> from Breton of
 Italy, i</t>
    </r>
    <r>
      <rPr>
        <b/>
        <sz val="11"/>
        <color rgb="FFC00000"/>
        <rFont val="Arial"/>
        <family val="2"/>
      </rPr>
      <t>s in progress for commercialization in Q3FY25</t>
    </r>
    <r>
      <rPr>
        <b/>
        <sz val="11"/>
        <color theme="1"/>
        <rFont val="Arial"/>
        <family val="2"/>
      </rPr>
      <t xml:space="preserve">. Kreos is designed to produce full-body,  ultra-thin, and uniquely innovative aesthetic slabs. 
 • CHROMIAfrom Breton of Italy too, which is designed for decorating engineered stone slabs with  high-definition digital printing, is on track to commence operations at the end of the current fiscal.
 This technology allows for printing precise, intricate patterns and vibrant colors, enhancing the  aesthetic appeal and customizability of slabs.
</t>
    </r>
  </si>
  <si>
    <t>Shakti Pumps (India) Ltd</t>
  </si>
  <si>
    <r>
      <rPr>
        <b/>
        <sz val="11"/>
        <color rgb="FFC00000"/>
        <rFont val="Arial"/>
        <family val="2"/>
      </rPr>
      <t xml:space="preserve">FY25:REV 1713(25%)/PAT 283(16.50%) </t>
    </r>
    <r>
      <rPr>
        <sz val="11"/>
        <color theme="1"/>
        <rFont val="Arial"/>
        <family val="2"/>
      </rPr>
      <t xml:space="preserve"> ///Q1FY25:REV 568(402%)/PAT 93(16.37%)  ///FY24:REV 1371(%)/PAT 142(10.36%)    ///we will definitely grow on 25% to 30% on year-on-year
basis</t>
    </r>
  </si>
  <si>
    <t>order book of INR 2,000 Cr as on 30th June 2024,which is expected to be implemented in the next 15 months///The Co. spent &lt;~1% on R&amp;D expenditure, in-house research and development in respect of eligible facilities at Pithampur. [9] The Co. has filed for 29 product patents for its products and received 13 approvals till FY24</t>
  </si>
  <si>
    <t>Shilchar Technologies</t>
  </si>
  <si>
    <r>
      <rPr>
        <b/>
        <sz val="11"/>
        <color rgb="FF7030A0"/>
        <rFont val="Arial"/>
        <family val="2"/>
      </rPr>
      <t>Q1FY25 107(59.79%)//PAT 24(22.43%)
Q2FY25 148()//PAT 31(21%)
Q3FY25 165()//PAT 34(21%)
Q4FY25 147()//PAT 31(21%)
FY25 553(39.29%)//PAT 116(21%)   FY26 800(45%)//PAT 168(21%)           //</t>
    </r>
    <r>
      <rPr>
        <b/>
        <sz val="11"/>
        <color rgb="FF0070C0"/>
        <rFont val="Arial"/>
        <family val="2"/>
      </rPr>
      <t>FY24 397(41.79%)//PAT 92(23.17%) ///Q4FY24 105(56%)//PAT 25(23.81%)
Q3FY24 118(%)//PAT 26(%)</t>
    </r>
    <r>
      <rPr>
        <sz val="11"/>
        <color theme="1"/>
        <rFont val="Arial"/>
        <family val="2"/>
      </rPr>
      <t xml:space="preserve">
FY23 280//PAT 43(15.36%)  /// We have a capacity of 4000 MVA at present out of which and this year we are running 100% capacity so this year we will end up with a turnover of around Rs. 400 to Rs. 420
crores that is the 100% full capacity and then next year we will have an edition of capacity which will be 5500 MVA and from July 2024 onwards when the Phase 2
expansion completes then the capacity will increase to 7500 MVA./</t>
    </r>
    <r>
      <rPr>
        <b/>
        <sz val="11"/>
        <color rgb="FFC00000"/>
        <rFont val="Arial"/>
        <family val="2"/>
      </rPr>
      <t>/Construction is almost completed &amp; new facility will be put to use from 16.08.2024</t>
    </r>
    <r>
      <rPr>
        <sz val="11"/>
        <color theme="1"/>
        <rFont val="Arial"/>
        <family val="2"/>
      </rPr>
      <t xml:space="preserve"> /.//Demand and outlook continue to be strong both in India and exports. Current order book is 480 cr. Little delay in commissioning of new capacity mainly due to monsoons//Will start utilizing new capacity mostly in H2 and expect 100% utilization in H2 itself. </t>
    </r>
    <r>
      <rPr>
        <b/>
        <sz val="11"/>
        <color rgb="FFC00000"/>
        <rFont val="Arial"/>
        <family val="2"/>
      </rPr>
      <t>FY25 revenues expected to be 550 cr</t>
    </r>
    <r>
      <rPr>
        <sz val="11"/>
        <color theme="1"/>
        <rFont val="Arial"/>
        <family val="2"/>
      </rPr>
      <t>+ and expecting ~750 cr type of revenues in FY26.///Domestic &amp; export demand both continue to be strong. Have successfully entered the EU market and like all markets it will take 1-1.5 years for significant revs to accrue. Expect this to be a strong market though can’t guide what percentage of revenue will come from here. Have already r</t>
    </r>
    <r>
      <rPr>
        <b/>
        <sz val="11"/>
        <color rgb="FFC00000"/>
        <rFont val="Arial"/>
        <family val="2"/>
      </rPr>
      <t>eceived first order</t>
    </r>
    <r>
      <rPr>
        <sz val="11"/>
        <color theme="1"/>
        <rFont val="Arial"/>
        <family val="2"/>
      </rPr>
      <t xml:space="preserve">. Mostly catering to </t>
    </r>
    <r>
      <rPr>
        <b/>
        <sz val="11"/>
        <color rgb="FFC00000"/>
        <rFont val="Arial"/>
        <family val="2"/>
      </rPr>
      <t>the renewable sector in EU</t>
    </r>
  </si>
  <si>
    <r>
      <t>FEB 2024 : Manufacturing for phase 2 expansion to start from 1st July 2024
          • Capacity to increase from 5500 MVA p.a. to 7500 MVA p.a
         Manufacturing for phase 1 expansion to start from 1st April 2024
        • Capacity to increase from 4000 MVA p.a. to 5500 MVA p.a. ////</t>
    </r>
    <r>
      <rPr>
        <b/>
        <sz val="11"/>
        <color theme="1"/>
        <rFont val="Arial"/>
        <family val="2"/>
      </rPr>
      <t>Total order booking as on 1st January 2024 is INR 355 crores.</t>
    </r>
    <r>
      <rPr>
        <sz val="11"/>
        <color theme="1"/>
        <rFont val="Arial"/>
        <family val="2"/>
      </rPr>
      <t xml:space="preserve">  ////We had already started phase 1 expansion which is going on in full swing and it is plan to be operational from first April 2024, so this phase will increase our capacity from 4000 MVA to 5500 MVA. The office building which is under construction is expected to be completed by June or July 2024. we have already started working on the phase 2
expansion which is a much bigger expansion than the Phase 1 expansion and this will increase our capacity from 5500 MVA to 7500 MVA. In total, we are increasing our
capacity from 4000 MVA annually to 7500 MVA. We expect the </t>
    </r>
    <r>
      <rPr>
        <b/>
        <sz val="14"/>
        <color rgb="FFC00000"/>
        <rFont val="Arial"/>
        <family val="2"/>
      </rPr>
      <t>turnover of around Rs. 800 to Rs. 900 crores in two years</t>
    </r>
    <r>
      <rPr>
        <sz val="11"/>
        <color theme="1"/>
        <rFont val="Arial"/>
        <family val="2"/>
      </rPr>
      <t>. The total order book as of 1st January is Rs. 355
crores and we have also added some more orders in last one month. Our order position is good there is a very good demand in the market and we have a good presence in the
renewable energy sector especially solar and wind from where we are getting lot of enquiries and expect large quantity orders in coming months so this will help us in our
growth for the next year by utilising the Phase 1 and partially the phase 2 expansion. That is all from my side. Now you can raise question. //we do better in terms of margin compared to our competitor because we do lot of exports of Transformers.Of course, to export to these countries we need to
have a very high standard of quality, a very high standard of servicing and also efficient design.</t>
    </r>
  </si>
  <si>
    <t>SHIVALIK Bimetal control SBCL</t>
  </si>
  <si>
    <r>
      <rPr>
        <sz val="11"/>
        <color rgb="FFFF0000"/>
        <rFont val="Arial"/>
        <family val="2"/>
      </rPr>
      <t>Q1FY25 126(-0.1%)//PAT 18(14.29%) /</t>
    </r>
    <r>
      <rPr>
        <sz val="11"/>
        <color theme="1"/>
        <rFont val="Arial"/>
        <family val="2"/>
      </rPr>
      <t xml:space="preserve">//FY25 480Cr(7%) /PAT 87(18%) //FY24 449Cr(6.9%) /PAT 81(18%)      //// about 80% of our revenue in shunt comes from automotive applications, about 14% comes from the energy meter applications and some of that also comes through gas metering applications, which is about 4%, the balance. Going forward, as I had mentioned earlier, when it comes to </t>
    </r>
    <r>
      <rPr>
        <b/>
        <u/>
        <sz val="11"/>
        <color theme="1"/>
        <rFont val="Arial"/>
        <family val="2"/>
      </rPr>
      <t>automotive</t>
    </r>
    <r>
      <rPr>
        <u/>
        <sz val="11"/>
        <color theme="1"/>
        <rFont val="Arial"/>
        <family val="2"/>
      </rPr>
      <t>, we feel that this year, it might be flat.</t>
    </r>
    <r>
      <rPr>
        <sz val="11"/>
        <color theme="1"/>
        <rFont val="Arial"/>
        <family val="2"/>
      </rPr>
      <t xml:space="preserve"> However, when it comes to </t>
    </r>
    <r>
      <rPr>
        <b/>
        <sz val="11"/>
        <color theme="1"/>
        <rFont val="Arial"/>
        <family val="2"/>
      </rPr>
      <t>metering</t>
    </r>
    <r>
      <rPr>
        <sz val="11"/>
        <color theme="1"/>
        <rFont val="Arial"/>
        <family val="2"/>
      </rPr>
      <t>, we are looking at a</t>
    </r>
    <r>
      <rPr>
        <b/>
        <sz val="11"/>
        <color theme="1"/>
        <rFont val="Arial"/>
        <family val="2"/>
      </rPr>
      <t xml:space="preserve"> minimum of 2x</t>
    </r>
    <r>
      <rPr>
        <sz val="11"/>
        <color theme="1"/>
        <rFont val="Arial"/>
        <family val="2"/>
      </rPr>
      <t xml:space="preserve">.///Quantum capacity growth from </t>
    </r>
    <r>
      <rPr>
        <b/>
        <sz val="11"/>
        <color rgb="FFFF0000"/>
        <rFont val="Arial"/>
        <family val="2"/>
      </rPr>
      <t xml:space="preserve">optimized CAPEX
</t>
    </r>
    <r>
      <rPr>
        <sz val="11"/>
        <color theme="1"/>
        <rFont val="Arial"/>
        <family val="2"/>
      </rPr>
      <t xml:space="preserve">• INR 75 crores of capex already spent over FY 2021 to FY 2023 
• </t>
    </r>
    <r>
      <rPr>
        <b/>
        <sz val="11"/>
        <color rgb="FFFF0000"/>
        <rFont val="Arial"/>
        <family val="2"/>
      </rPr>
      <t>INR 20 to 30 crores to be spent for optimization and to improve productivity over FY 2024 to FY 2026</t>
    </r>
    <r>
      <rPr>
        <sz val="11"/>
        <color theme="1"/>
        <rFont val="Arial"/>
        <family val="2"/>
      </rPr>
      <t xml:space="preserve">
• </t>
    </r>
    <r>
      <rPr>
        <b/>
        <sz val="11"/>
        <color rgb="FFFF0000"/>
        <rFont val="Arial"/>
        <family val="2"/>
      </rPr>
      <t xml:space="preserve">Sales Potential </t>
    </r>
    <r>
      <rPr>
        <sz val="11"/>
        <color theme="1"/>
        <rFont val="Arial"/>
        <family val="2"/>
      </rPr>
      <t>post expansion – INR</t>
    </r>
    <r>
      <rPr>
        <b/>
        <sz val="11"/>
        <color rgb="FFFF0000"/>
        <rFont val="Arial"/>
        <family val="2"/>
      </rPr>
      <t xml:space="preserve"> 1,600 Crores</t>
    </r>
    <r>
      <rPr>
        <sz val="11"/>
        <color theme="1"/>
        <rFont val="Arial"/>
        <family val="2"/>
      </rPr>
      <t xml:space="preserve">
we progress through financial year 2025, we anticipate a steady growth recovery in the USA and continued robust demand from Asia and especially India.  With important contracts formalized during financial year 2024, we also have a promising business pipeline with OEMs. To prepare for our growth, we recently acquired a new property, providing sufficient headroom for forward integration and expansion of our assembly lines. We also hope to establish a meaningful alliance for our contract business, creating another pillar forgrowth.</t>
    </r>
  </si>
  <si>
    <r>
      <t xml:space="preserve">Shivalik’s strategic acquisition of CHECON’s (USA) stake in SEPPL expands the Company’s offerings to manufacture and design Silver and Silver Alloy based electrical contacts  and assemblies. 
• Shivalik has a joint venture with </t>
    </r>
    <r>
      <rPr>
        <b/>
        <sz val="11"/>
        <color rgb="FF7030A0"/>
        <rFont val="Arial"/>
        <family val="2"/>
      </rPr>
      <t>Arcleor Mittal Stainless &amp; Nickel Alloys called ICS</t>
    </r>
    <r>
      <rPr>
        <sz val="11"/>
        <color theme="1"/>
        <rFont val="Arial"/>
        <family val="2"/>
      </rPr>
      <t xml:space="preserve"> located in Indore, MP, India. 
• Both these initiatives broaden Shivalik’s offerings and provide entry into complementary market segments alongside bimetal, trimetal, and shunt resistors.//</t>
    </r>
    <r>
      <rPr>
        <b/>
        <sz val="11"/>
        <color theme="1"/>
        <rFont val="Arial"/>
        <family val="2"/>
      </rPr>
      <t>54.75Cr Shunt (48.94%) +  52.47 Cr Bimetal (51% rev)</t>
    </r>
    <r>
      <rPr>
        <sz val="11"/>
        <color theme="1"/>
        <rFont val="Arial"/>
        <family val="2"/>
      </rPr>
      <t xml:space="preserve">
Revenues: Shivalik saw a slight decline in revenue in Q1FY25, with the Shunt Resistor segment decreasing by 0.93% and the Bimetal segment by 8.92% YoY for Q1FY25//Inventory Days for Q1 FY25 increased by 33 days to 197 days
//Net Working Capital (Days) for Q1FY25 has increased by 50 days to 241.
//The Americas showed a decline due to moderated market demand, whiledemand in Europe, India and Rest of Asia showcases growth in the Shunt Resistor segment for Q1FY25.//The Indian market and the Americas region have shown resilience in the Thermostatic Bimetal/Trimetal segment for Q1FY25.</t>
    </r>
  </si>
  <si>
    <t>Som Distilleries &amp; Breweries Ltd</t>
  </si>
  <si>
    <t xml:space="preserve">BUY BUY </t>
  </si>
  <si>
    <r>
      <rPr>
        <b/>
        <sz val="11"/>
        <color rgb="FF7030A0"/>
        <rFont val="Arial"/>
        <family val="2"/>
      </rPr>
      <t>Q1FY25 513(33.25%)//PAT 41(8%)
Q1FY24 385()//PAT 34(8.83%) //FY25 1729 (35%Yoy) //PAT 138 (8%) 12% to 13% EBITDA margin</t>
    </r>
    <r>
      <rPr>
        <sz val="11"/>
        <color theme="1"/>
        <rFont val="Arial"/>
        <family val="2"/>
      </rPr>
      <t xml:space="preserve">
Q1FY25 513 (34.29%Yoy Q) //PAT 41 (8.77%)
Q4FY24 382 (21.32%Yoy Q) //PAT 20 (1%)
FY24 1281(58.7Yoy) //PAT 86 (6.71%)</t>
    </r>
  </si>
  <si>
    <r>
      <t>// got approval to supply two new states.we have started dispatches to newer states like Rajasthan, Jharkhand and also to Uttar Pradesh. So, all these three states are priority states for us in the coming quarters.CAPEX we are keen to expand our capacity 
in Odisha. And we are working on the exact numbers. Maybe in the next two, three 
months, we'll have a concrete idea about the money we'll spend //Karnataka plant is running   at 90% and Bhopal is running at 70%.//</t>
    </r>
    <r>
      <rPr>
        <b/>
        <sz val="11"/>
        <color rgb="FF7030A0"/>
        <rFont val="Arial"/>
        <family val="2"/>
      </rPr>
      <t>Odisha is slightly lower at about 50%.</t>
    </r>
    <r>
      <rPr>
        <sz val="11"/>
        <color theme="1"/>
        <rFont val="Arial"/>
        <family val="2"/>
      </rPr>
      <t xml:space="preserve"> // we are anticipating that the demand from Odisha, Jharkhand and the </t>
    </r>
    <r>
      <rPr>
        <b/>
        <sz val="11"/>
        <color rgb="FF7030A0"/>
        <rFont val="Arial"/>
        <family val="2"/>
      </rPr>
      <t xml:space="preserve">Northeast will increase in the next six months or nine months. So, that's why we want to increase our 
footprint in the Odisha capacity as of now. </t>
    </r>
    <r>
      <rPr>
        <sz val="11"/>
        <color theme="1"/>
        <rFont val="Arial"/>
        <family val="2"/>
      </rPr>
      <t xml:space="preserve">//there is West Bengal. There are other states like Sikkim and all. </t>
    </r>
  </si>
  <si>
    <r>
      <rPr>
        <b/>
        <sz val="11"/>
        <color rgb="FFC00000"/>
        <rFont val="Arial"/>
        <family val="2"/>
      </rPr>
      <t>Q1FY25 REV 136(70% growth)// PAT 16(</t>
    </r>
    <r>
      <rPr>
        <b/>
        <sz val="11"/>
        <color rgb="FFFF0000"/>
        <rFont val="Arial"/>
        <family val="2"/>
      </rPr>
      <t>11.76</t>
    </r>
    <r>
      <rPr>
        <b/>
        <sz val="11"/>
        <color rgb="FFC00000"/>
        <rFont val="Arial"/>
        <family val="2"/>
      </rPr>
      <t xml:space="preserve">%) </t>
    </r>
    <r>
      <rPr>
        <b/>
        <sz val="11"/>
        <color rgb="FFFF0000"/>
        <rFont val="Arial"/>
        <family val="2"/>
      </rPr>
      <t>3% is Less from Q4.</t>
    </r>
    <r>
      <rPr>
        <b/>
        <sz val="11"/>
        <color rgb="FFC00000"/>
        <rFont val="Arial"/>
        <family val="2"/>
      </rPr>
      <t xml:space="preserve">          
//FY25 Rev 500 (35% growth) // EBITDA margins of 18% /PAT 60(12%) // </t>
    </r>
    <r>
      <rPr>
        <b/>
        <sz val="11"/>
        <color theme="1"/>
        <rFont val="Arial"/>
        <family val="2"/>
      </rPr>
      <t>FY26 REV 675 (35% growth) //PAT 80(12%)
//FY27 REV 900 (35% growth) // PAT 110 (12%)</t>
    </r>
    <r>
      <rPr>
        <sz val="11"/>
        <color theme="1"/>
        <rFont val="Arial"/>
        <family val="2"/>
      </rPr>
      <t xml:space="preserve">  //</t>
    </r>
    <r>
      <rPr>
        <b/>
        <sz val="11"/>
        <color rgb="FFFF0000"/>
        <rFont val="Arial"/>
        <family val="2"/>
      </rPr>
      <t xml:space="preserve">/ Q4FY24:REV 110 /PAT 16(14.55%)  // FY24:REV 363(%)/PAT 40(11%) </t>
    </r>
    <r>
      <rPr>
        <sz val="11"/>
        <color theme="1"/>
        <rFont val="Arial"/>
        <family val="2"/>
      </rPr>
      <t xml:space="preserve">    ////CapEx of anywhere between INR 30 crores to INR 40 crores in FY25 ////</t>
    </r>
    <r>
      <rPr>
        <b/>
        <sz val="11"/>
        <color rgb="FFC00000"/>
        <rFont val="Arial"/>
        <family val="2"/>
      </rPr>
      <t>Our earning guidance for FY '25, we have already mentioned in our earlier call is INR 500 crores</t>
    </r>
    <r>
      <rPr>
        <sz val="11"/>
        <color theme="1"/>
        <rFont val="Arial"/>
        <family val="2"/>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r>
      <rPr>
        <b/>
        <sz val="11"/>
        <color rgb="FF7030A0"/>
        <rFont val="Arial"/>
        <family val="2"/>
      </rPr>
      <t>48 crores has been planned towards the CAPEX expenditure in FY 25.INR 28 crores have already been approved and the works are progressing as follows:</t>
    </r>
    <r>
      <rPr>
        <b/>
        <sz val="11"/>
        <color rgb="FF002060"/>
        <rFont val="Arial"/>
        <family val="2"/>
      </rPr>
      <t>//Solar plant set up at Wada and Varle are in the commissioning stage and will be ready within Q2.• Increase in crumbing capacity at Varle which shall be operational by Q3.• MRP capacity expansion at Gummidipoondi, Chennai which shall be operational within Q2.• Power load enhancement at Gummidipoondi , Chennai.• Building and infrastructure development at Varle which shall be ready by Q3</t>
    </r>
  </si>
  <si>
    <r>
      <rPr>
        <sz val="11"/>
        <color rgb="FF000000"/>
        <rFont val="Arial"/>
        <family val="2"/>
      </rPr>
      <t>The company anticipates a revenue of INR 500 crores for FY25 and aims to achieve INR 900 crores by FY27/////The EPR policy was notified in July 2022.Tyre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i</t>
    </r>
    <r>
      <rPr>
        <b/>
        <sz val="11"/>
        <color rgb="FF7030A0"/>
        <rFont val="Arial"/>
        <family val="2"/>
      </rPr>
      <t xml:space="preserve">ncludes Rs.10.53cr  towards sale of Extended Producer Responsibility credits(EPR). </t>
    </r>
    <r>
      <rPr>
        <sz val="11"/>
        <color rgb="FF000000"/>
        <rFont val="Arial"/>
        <family val="2"/>
      </rPr>
      <t xml:space="preserve">To reiterate, it is our aim to reach revenues </t>
    </r>
    <r>
      <rPr>
        <b/>
        <sz val="11"/>
        <color rgb="FFC00000"/>
        <rFont val="Arial"/>
        <family val="2"/>
      </rPr>
      <t>of INR 900 crores by FY27 (Fy24 Rev 363) and achieve EBITDA margins of 18%</t>
    </r>
    <r>
      <rPr>
        <sz val="11"/>
        <color rgb="FF000000"/>
        <rFont val="Arial"/>
        <family val="2"/>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Arial"/>
        <family val="2"/>
      </rPr>
      <t xml:space="preserve">EPR </t>
    </r>
    <r>
      <rPr>
        <sz val="11"/>
        <color rgb="FF000000"/>
        <rFont val="Arial"/>
        <family val="2"/>
      </rPr>
      <t xml:space="preserve">units. We have some remaining over FY '23 as well. And what we have generated in FY '24 and </t>
    </r>
    <r>
      <rPr>
        <b/>
        <sz val="11"/>
        <color rgb="FFC00000"/>
        <rFont val="Arial"/>
        <family val="2"/>
      </rPr>
      <t>we will generate in FY '25,</t>
    </r>
    <r>
      <rPr>
        <sz val="11"/>
        <color rgb="FF000000"/>
        <rFont val="Arial"/>
        <family val="2"/>
      </rPr>
      <t xml:space="preserve"> It's an ongoing process depending on supply and demand. As we see an opportunity, we will monetize.</t>
    </r>
  </si>
  <si>
    <t>Vishnu Chemicals Ltd</t>
  </si>
  <si>
    <t>My Projection FY25 Rev 1891(17%)/PAT 416(17%)  //    FY24:REV 1616(17%)/PAT 307(19%)</t>
  </si>
  <si>
    <t>Industry PE 57</t>
  </si>
  <si>
    <r>
      <rPr>
        <b/>
        <sz val="11"/>
        <color rgb="FF7030A0"/>
        <rFont val="Arial"/>
        <family val="2"/>
      </rPr>
      <t xml:space="preserve"> FY25:REV 3284(15%)/PAT 295(9%)  /// FY24 2,856 Cr //PAT 250cr (8.75%)//EBITDA of over 13%, PAT of about 9%.FCF 168Cr // net cash positive position of INR 236 crore.  </t>
    </r>
    <r>
      <rPr>
        <sz val="11"/>
        <color theme="1"/>
        <rFont val="Arial"/>
        <family val="2"/>
      </rPr>
      <t xml:space="preserve">EP (17% --&gt; will go 25% REV ) + EPC (83% rev) ,Future focus is only EP part because of Margin is good and become a asset light technology base player(EPC 10% EP 12 % O$M 16% EBITA ).O&amp;M reaching 20% of total revenues, 
FY24 Order book 11400 CR Current and BID submitted 1 Billion Dollars (8,380 Cr) and 1 Billion order we are looking next 3/4 months we will submitted //Our order book continues to remain strong at about INR 114 billion,which gives us a good 3 year revenue visibility.
.//International revenue is about 40%. In some years, we were even more than 50%. //We see our order book over a 3 to 5 years to reach about 3x of our revenues. </t>
    </r>
    <r>
      <rPr>
        <b/>
        <sz val="11"/>
        <color rgb="FF7030A0"/>
        <rFont val="Arial"/>
        <family val="2"/>
      </rPr>
      <t xml:space="preserve">Revenues to grow in a 15% to 20% CAGR. </t>
    </r>
    <r>
      <rPr>
        <b/>
        <u/>
        <sz val="11"/>
        <color rgb="FF7030A0"/>
        <rFont val="Arial"/>
        <family val="2"/>
      </rPr>
      <t xml:space="preserve">EBITDA to be in the 13% to 15% </t>
    </r>
    <r>
      <rPr>
        <b/>
        <sz val="11"/>
        <color rgb="FF7030A0"/>
        <rFont val="Arial"/>
        <family val="2"/>
      </rPr>
      <t>range,//ROCE, about 20%</t>
    </r>
    <r>
      <rPr>
        <sz val="11"/>
        <color theme="1"/>
        <rFont val="Arial"/>
        <family val="2"/>
      </rPr>
      <t xml:space="preserve">. We will continue to remain on our commitment to stay asset-light. //We are interested in EPC and O&amp;M, and more importantly, be a technology player. We will not be a contractor. //We will be a technology player, and that is how we will remain asset-light and generate good ROCEs, about 20%. //FY25 15% - 16%  would be  and After FY25 +20% Top line growth </t>
    </r>
  </si>
  <si>
    <t>Q1FY25 626(13%Yoy Q) //PAT 54.8(8.75%)</t>
  </si>
  <si>
    <t>ZEN TECHNOLOGIES LIMITED CELEBRATES PATENT GRANT FOR INNOVATIVE "MINE DETECTION SYSTEM"</t>
  </si>
  <si>
    <t>Median PE = 72.3</t>
  </si>
  <si>
    <t>PORTFOLIO</t>
  </si>
  <si>
    <t>STOCKS</t>
  </si>
  <si>
    <t>STOCK</t>
  </si>
  <si>
    <t>Portfolio</t>
  </si>
  <si>
    <t>SMALL/MID</t>
  </si>
  <si>
    <t>Senco Gold : 7%</t>
  </si>
  <si>
    <t>Credo Brands Marketing : 7%</t>
  </si>
  <si>
    <t>Poonawalla Fincorp: 7%</t>
  </si>
  <si>
    <t>Kaynes Technology India : 7%</t>
  </si>
  <si>
    <t>Zen Technologies : 6%</t>
  </si>
  <si>
    <t xml:space="preserve">Sona BLW Precision Forgings: 6% </t>
  </si>
  <si>
    <t>RateGain Travel Technologies : 6%</t>
  </si>
  <si>
    <t>Avalon Technologies : 6%</t>
  </si>
  <si>
    <t>L&amp;T Finance : 5%</t>
  </si>
  <si>
    <t>Power Mech Projects : 5%</t>
  </si>
  <si>
    <t>Gujarat Fluorochemicals : 5%</t>
  </si>
  <si>
    <t>Vedant Fashions : 5%</t>
  </si>
  <si>
    <t>Restaurant Brands Asia: 5%</t>
  </si>
  <si>
    <t xml:space="preserve">CE Info Systems : 5% </t>
  </si>
  <si>
    <t>Muthoot Microfin : 5%</t>
  </si>
  <si>
    <t>Dr. Lal Pathlabs : 5%</t>
  </si>
  <si>
    <t>Campus Activewear : 5%</t>
  </si>
  <si>
    <t>Tejas Networks : 3%</t>
  </si>
  <si>
    <t>Student and Early Earner</t>
  </si>
  <si>
    <t>IDFC First Bank: 10.4%</t>
  </si>
  <si>
    <t>Poonawalla Fincorp: 10.4%</t>
  </si>
  <si>
    <t>Star Health and Allied Insurance Company : 9.5%</t>
  </si>
  <si>
    <t>Max Healthcare Institute : 9.1%</t>
  </si>
  <si>
    <t>Zomato : 9.1%</t>
  </si>
  <si>
    <t>Kalyan Jewellers India : 9%</t>
  </si>
  <si>
    <t xml:space="preserve"> Ambuja Cements : 8.9%</t>
  </si>
  <si>
    <t>EIH : 8.6%</t>
  </si>
  <si>
    <t>Tata Power Company : 8.5%</t>
  </si>
  <si>
    <t>Crompton Greaves Consumer Electricals: 8.3%</t>
  </si>
  <si>
    <t>Avalon Technologies : 8.2%</t>
  </si>
  <si>
    <t>SIP</t>
  </si>
  <si>
    <t>IDFC First Bank : 8.2%</t>
  </si>
  <si>
    <t>Ambuja Cements: 8.2%</t>
  </si>
  <si>
    <t>Bharti Airtel : 8.2%</t>
  </si>
  <si>
    <t>Varun Beverages : 8%</t>
  </si>
  <si>
    <t>L&amp;T Finance : 8%</t>
  </si>
  <si>
    <t>Poonawalla Fincorp : 8%</t>
  </si>
  <si>
    <t>Max Healthcare Institute : 8%</t>
  </si>
  <si>
    <t>Zomato : 7.5%</t>
  </si>
  <si>
    <t>Star Health and Allied Insurance Company : 7.5%</t>
  </si>
  <si>
    <t>Tata Motors : 7.3%</t>
  </si>
  <si>
    <t>Crompton Greaves Consumer Electricals: 7.3%</t>
  </si>
  <si>
    <t>Tata Power Company: 7.3%</t>
  </si>
  <si>
    <t>Tata Consumer Products : 6.5%</t>
  </si>
  <si>
    <t>Value - Stock Only Investor</t>
  </si>
  <si>
    <t>Reliance Industries : 7.5%</t>
  </si>
  <si>
    <t>Fine Organic Industries : 7.5%</t>
  </si>
  <si>
    <t>IDFC First Bank : 7%</t>
  </si>
  <si>
    <t>HDFC Bank: 7%</t>
  </si>
  <si>
    <t>NTPC : 7%</t>
  </si>
  <si>
    <t>Tata Power Company : 7%</t>
  </si>
  <si>
    <t>Bharti Airtel : 7%</t>
  </si>
  <si>
    <t>Bajaj Finance : 7%</t>
  </si>
  <si>
    <t>Pl Industries : 6.5%</t>
  </si>
  <si>
    <t>Ambuja Cements : 6.5%</t>
  </si>
  <si>
    <t>Deepak Nitrite : 6%</t>
  </si>
  <si>
    <t>L&amp;T Finance : 6%</t>
  </si>
  <si>
    <t>EIH : 5.5%</t>
  </si>
  <si>
    <t>Power Grid Corporation Of India : 5%</t>
  </si>
  <si>
    <t>EV and Green Energy Investor</t>
  </si>
  <si>
    <t>Tata Motors : 10%</t>
  </si>
  <si>
    <t>Reliance Industries : 10%</t>
  </si>
  <si>
    <t>Torrent Power: 10%</t>
  </si>
  <si>
    <t>Sona BLW Precision Forgings : 10%</t>
  </si>
  <si>
    <t>Tata Power Company : 10%</t>
  </si>
  <si>
    <t>Avalon Technologies : 9%</t>
  </si>
  <si>
    <t>Tube Investments of India: 9%</t>
  </si>
  <si>
    <t>NTPC : 8%</t>
  </si>
  <si>
    <t>Borosil Renewables : 6%</t>
  </si>
  <si>
    <t>ABB India: 6%</t>
  </si>
  <si>
    <t>KPIT Technologies : 6%</t>
  </si>
  <si>
    <t>Gujarat Fluorochemicals : 6%</t>
  </si>
  <si>
    <t>Happy Earth Portfolio Investor</t>
  </si>
  <si>
    <t>ICICI Bank: 7.5%</t>
  </si>
  <si>
    <t>IDFC First Bank : 7.5%</t>
  </si>
  <si>
    <t>Polycab India: 7.5%</t>
  </si>
  <si>
    <t>Star Health and Allied Insurance Company : 7%</t>
  </si>
  <si>
    <t>Poonawalla Fincorp: 6.5%</t>
  </si>
  <si>
    <t>Tube Investments of India : 6.5%</t>
  </si>
  <si>
    <t>Kaynes Technology India : 6%</t>
  </si>
  <si>
    <t>CE Info Systems : 6%</t>
  </si>
  <si>
    <t>Electronics Mart India: 6%</t>
  </si>
  <si>
    <t>Tata Motors : 6%</t>
  </si>
  <si>
    <t>Max Healthcare Institute : 6%</t>
  </si>
  <si>
    <t>Quanto-Funda Model Portfolio Investor</t>
  </si>
  <si>
    <t>Macrotech Developers : 6.7%</t>
  </si>
  <si>
    <t>The Phoenix Mills: 6.7%</t>
  </si>
  <si>
    <t>Mahindra &amp; Mahindra : 6.7%</t>
  </si>
  <si>
    <t>Brigade Enterprises : 6.7%</t>
  </si>
  <si>
    <t>Power Finance Corporation: 6.7%</t>
  </si>
  <si>
    <t>Triveni Turbine : 6.7%</t>
  </si>
  <si>
    <t>Godrej Properties : 6.7%</t>
  </si>
  <si>
    <t>Oberoi Realty : 6.7%</t>
  </si>
  <si>
    <t>IRB Infrastructure Developers : 6.7%</t>
  </si>
  <si>
    <t>Bharat Electronics : 6.7%</t>
  </si>
  <si>
    <t>Canara Bank : 6.6%</t>
  </si>
  <si>
    <t>Interglobe Aviation : 6.6%</t>
  </si>
  <si>
    <t>REC: 6.6%</t>
  </si>
  <si>
    <t>PB Fintech : 6.6%</t>
  </si>
  <si>
    <t>Bharat Forge : 6.6%</t>
  </si>
  <si>
    <t>Growth Investor</t>
  </si>
  <si>
    <t>Bajaj Finance : 6%</t>
  </si>
  <si>
    <t>Reliance Industries : 6%</t>
  </si>
  <si>
    <t>Pl Industries : 5%</t>
  </si>
  <si>
    <t>Tata Power Company : 5%</t>
  </si>
  <si>
    <t>Kaynes Technology India : 5%</t>
  </si>
  <si>
    <t>Zomato : 5%</t>
  </si>
  <si>
    <t>KPIT Technologies : 5%</t>
  </si>
  <si>
    <t>Poonawalla Fincorp: 4.5%</t>
  </si>
  <si>
    <t>Star Health and Allied Insurance Company: 4%</t>
  </si>
  <si>
    <t>IDFC First Bank : 4%</t>
  </si>
  <si>
    <t>Avenue Supermarts: 4%</t>
  </si>
  <si>
    <t>Dr. Lal Pathlabs: 4%</t>
  </si>
  <si>
    <t>Polycab India : 4%</t>
  </si>
  <si>
    <t>Kalyan Jewellers India: 3.5%</t>
  </si>
  <si>
    <t>BUY CALL</t>
  </si>
  <si>
    <t>Below GREEN--Yellow--RED</t>
  </si>
  <si>
    <t>SELL CALL</t>
  </si>
  <si>
    <t>UP GREEN --YELLOW--RED</t>
  </si>
  <si>
    <t>PRev Rev</t>
  </si>
  <si>
    <t>CFO / PAT</t>
  </si>
  <si>
    <t xml:space="preserve"> &gt;1 I sgood</t>
  </si>
  <si>
    <t>REV Current</t>
  </si>
  <si>
    <t>% Increase</t>
  </si>
  <si>
    <t>REVENUE 2025</t>
  </si>
  <si>
    <t>PAT Current</t>
  </si>
  <si>
    <t>+ REV</t>
  </si>
  <si>
    <t>PAT Margin %</t>
  </si>
  <si>
    <t>% PAT Custom</t>
  </si>
  <si>
    <t>PAT ?</t>
  </si>
  <si>
    <t>REV after 1 Yr</t>
  </si>
  <si>
    <t>% REV Custom</t>
  </si>
  <si>
    <t>Total REV?</t>
  </si>
  <si>
    <t>Rev upside %</t>
  </si>
  <si>
    <t>Just formula</t>
  </si>
  <si>
    <t>Rev %</t>
  </si>
  <si>
    <t>PAT after 1 yr</t>
  </si>
  <si>
    <t>Total PAT</t>
  </si>
  <si>
    <t>Large Cap 20K Cr&gt;</t>
  </si>
  <si>
    <t>Mid-cap  5K cr &gt; and &lt;20K cr</t>
  </si>
  <si>
    <t>Small Cap &lt;5K cr</t>
  </si>
  <si>
    <t>Electronics Manufacturing</t>
  </si>
  <si>
    <t>POWER/Green Energy Production</t>
  </si>
  <si>
    <t>Banking/Financial</t>
  </si>
  <si>
    <t>Pharmaceuticals &amp; Healthcare</t>
  </si>
  <si>
    <t>IT</t>
  </si>
  <si>
    <t>Insurance</t>
  </si>
  <si>
    <t>Diversified</t>
  </si>
  <si>
    <t>Real Estate/INFRA</t>
  </si>
  <si>
    <t>FMCG</t>
  </si>
  <si>
    <t xml:space="preserve">Take Home </t>
  </si>
  <si>
    <t>INR</t>
  </si>
  <si>
    <t>upto date</t>
  </si>
  <si>
    <t>BOA JUne19</t>
  </si>
  <si>
    <t>401K</t>
  </si>
  <si>
    <t>land paid</t>
  </si>
  <si>
    <t>DCU June 19</t>
  </si>
  <si>
    <t>USA -ROBIN STOCK</t>
  </si>
  <si>
    <t>Saving ProjectionDCU</t>
  </si>
  <si>
    <t>DCU June19</t>
  </si>
  <si>
    <t>USA -MERRIL STOCK</t>
  </si>
  <si>
    <t xml:space="preserve">TOTAL </t>
  </si>
  <si>
    <t>GENPACT STOCK</t>
  </si>
  <si>
    <t>SEPT24 to Dec 2024</t>
  </si>
  <si>
    <t>INDIA STOCK</t>
  </si>
  <si>
    <t>JAN 25 to Dec 2025</t>
  </si>
  <si>
    <t>Property SG</t>
  </si>
  <si>
    <t>JAN 26 to Dec 2026</t>
  </si>
  <si>
    <t>BARODA BNP PARIBAS LARGE &amp; MID CAP FUND REGULAR GROWTH(NAV 26.98)</t>
  </si>
  <si>
    <t>JAN 27 to Dec 2027</t>
  </si>
  <si>
    <t>FD</t>
  </si>
  <si>
    <t>TOTAL for NEXT 3 YRS</t>
  </si>
  <si>
    <t>IN HAND</t>
  </si>
  <si>
    <t xml:space="preserve">To Be </t>
  </si>
  <si>
    <t>Total</t>
  </si>
  <si>
    <t>Accounts receivable (AR) is reported in the operating activities section of a cash flow statement (CFS). AR is the amount of money a company is owed by customers for goods or services sold on credit. Changes in AR are important for a company's cash flow and financial health. 
Here's how AR is reflected on a cash flow statement:
Decrease in AR
When AR decreases, it means the company has received more cash from customers than it has extended in credit sales. This is a positive development for cash flow management. The amount of the decrease is added to the company's net sales</t>
  </si>
  <si>
    <t xml:space="preserve">The debtor days ratio, also known as the debtor collection period, is a financial metric that measures how long it takes a company to collect money from its customers: </t>
  </si>
  <si>
    <t>Days payable outstanding (DPO) is a financial ratio that measures how long it takes a company to pay its supplier invoices: 
Formula
DPO = (Average Accounts Payable / Cost of Goods Sold) x 365 days 
Explanation</t>
  </si>
  <si>
    <t>WESTCOAST</t>
  </si>
  <si>
    <t>Q1FY25 960(30%)//PAT 122(14%)
FY24 4448(-9.60%)//PAT 786(17.67%) (PAPER 4235 Cr  (27% EBITA)+ (7% Rev) 213 Cr CABLE (12% EBITA)
FY23 4921(45.68%)//PAT 1087(22%)
FY22 3378(30%)//PAT 346(7%)</t>
  </si>
  <si>
    <r>
      <t>The Company acquired UniplyDécor Limited on successful bidding under Insolvency and Bankruptcy Code, 2016, it is into manufacturing of plywood. Additionally capacity expansion in Hyderabad for Opticable plant.//Expansion Plans - Optic Fibre Cable at Hyderabad //₹ 120 crores in Phase I&amp;₹ 55 crores in Phase II  ///</t>
    </r>
    <r>
      <rPr>
        <b/>
        <sz val="11"/>
        <color rgb="FFFF0000"/>
        <rFont val="Arial"/>
        <family val="2"/>
      </rPr>
      <t>TIMELINE # Phase 1 by 4th Quarter of FY 24-25  ,Phase 2 completed on 15 Feb 2024 /ESTIMATED REVENUE Revenue of
over ₹ 300 crores</t>
    </r>
  </si>
  <si>
    <t>ANDHRA PAPER</t>
  </si>
  <si>
    <t>Q1FY25 316(-33.9%)//PAT 28(8.8%)
FY24 1801(-14.16%)//PAT 340(18.88%)
FY23 2098(53%)//PAT 522(24.88%)
FY22 1380(%)//PAT 140(10%)</t>
  </si>
  <si>
    <t>JKPAPER</t>
  </si>
  <si>
    <t>Q1FY25 1714(8.21%)//PAT 141(8.2%)
FY24 6659(3.45%)//PAT 1133(17%)
FY23 6437(62%)//PAT 1208(18.77%)
FY22 3969(%)//PAT 544(10%)</t>
  </si>
  <si>
    <t>Uniparts India Ltd</t>
  </si>
  <si>
    <r>
      <t>manufacturer of engineered systems and solutions. The company is one of the leading suppliers of systems and components for the off-highway market in the agriculture and construction, forestry and mining ("CFM"), and aftermarket sectors with a presence across over 25 countries// I would think the full year outlook</t>
    </r>
    <r>
      <rPr>
        <b/>
        <sz val="11"/>
        <color rgb="FFFF0000"/>
        <rFont val="Arial"/>
        <family val="2"/>
      </rPr>
      <t xml:space="preserve"> would be more flattish for this year.</t>
    </r>
    <r>
      <rPr>
        <b/>
        <sz val="11"/>
        <color theme="1"/>
        <rFont val="Arial"/>
        <family val="2"/>
      </rPr>
      <t xml:space="preserve"> I expect maybe </t>
    </r>
    <r>
      <rPr>
        <b/>
        <sz val="11"/>
        <color rgb="FFFF0000"/>
        <rFont val="Arial"/>
        <family val="2"/>
      </rPr>
      <t>quarter 2 to be sequentially fla</t>
    </r>
    <r>
      <rPr>
        <b/>
        <sz val="11"/>
        <color theme="1"/>
        <rFont val="Arial"/>
        <family val="2"/>
      </rPr>
      <t>t. And the half 2 probably -- t</t>
    </r>
    <r>
      <rPr>
        <b/>
        <sz val="11"/>
        <color rgb="FFFF0000"/>
        <rFont val="Arial"/>
        <family val="2"/>
      </rPr>
      <t>he second half would be higher than half 1. And with quarter 4</t>
    </r>
    <r>
      <rPr>
        <b/>
        <sz val="12"/>
        <color rgb="FFFF0000"/>
        <rFont val="Arial"/>
        <family val="2"/>
      </rPr>
      <t>,</t>
    </r>
    <r>
      <rPr>
        <b/>
        <sz val="12"/>
        <color theme="1"/>
        <rFont val="Arial"/>
        <family val="2"/>
      </rPr>
      <t xml:space="preserve"> I expect to have the highest run rate.</t>
    </r>
    <r>
      <rPr>
        <b/>
        <sz val="11"/>
        <color theme="1"/>
        <rFont val="Arial"/>
        <family val="2"/>
      </rPr>
      <t>//outlook is going to be between INR35 crores to INR40 crores</t>
    </r>
  </si>
  <si>
    <t>Q1FY25 261(% YOY )//PAT 25(PAT Margin9.58 %)
FY24 1140(% YOY )//PAT 125(PAT Margin10.96 %)
FY23 1366(% YOY )//PAT 205(PAT Margin15 %)</t>
  </si>
  <si>
    <t>Bajaj Finance-LARGCAP</t>
  </si>
  <si>
    <t>Bharti Airtel-LARGCAP</t>
  </si>
  <si>
    <t>HDFC Bank-LARGCAP</t>
  </si>
  <si>
    <t>Tata Power Company-LARGCAP</t>
  </si>
  <si>
    <t>Zomato-LARGCAP</t>
  </si>
  <si>
    <t>Kalyan Jewellers India-MIDCAP</t>
  </si>
  <si>
    <t>Tata Motors-LARGCAP</t>
  </si>
  <si>
    <t>Star Health and Allied Insurance Company-MIDCAP</t>
  </si>
  <si>
    <t>L&amp;T Finance-MIDCAP</t>
  </si>
  <si>
    <t>Kaynes Technology India-SMALLCAP</t>
  </si>
  <si>
    <t>KPIT Technologies-MIDCAP</t>
  </si>
  <si>
    <t>IDFC First Bank-MIDCAP</t>
  </si>
  <si>
    <t>Poonawalla Fincorp-SMALLCAP</t>
  </si>
  <si>
    <t>Ambuja Cements-LARGCAP</t>
  </si>
  <si>
    <t>Avalon Technologies_SMALLCAP</t>
  </si>
  <si>
    <t>Max Healthcare Institute-MIDCAP</t>
  </si>
  <si>
    <t>Reliance Industries-LARGCAP</t>
  </si>
  <si>
    <t>PROTFOLIO</t>
  </si>
  <si>
    <t>360 One Wam: 6.7%</t>
  </si>
  <si>
    <t>360 One Wam</t>
  </si>
  <si>
    <t>ABB Indi</t>
  </si>
  <si>
    <t>Affle (India) : 6.7%</t>
  </si>
  <si>
    <t>Affle (India)</t>
  </si>
  <si>
    <t>Ambuja Cements</t>
  </si>
  <si>
    <t>Moderate Investor</t>
  </si>
  <si>
    <t>Asian Paints 4%</t>
  </si>
  <si>
    <t>Asian Paints</t>
  </si>
  <si>
    <t>Avalon Technologies</t>
  </si>
  <si>
    <t>Avenue Supermart</t>
  </si>
  <si>
    <t>Bajaj Finance: 4%</t>
  </si>
  <si>
    <t>Bharti Airtel</t>
  </si>
  <si>
    <t>Bharti Airtel 4%</t>
  </si>
  <si>
    <t>Blue Dart Express 4%</t>
  </si>
  <si>
    <t>Blue Dart Express</t>
  </si>
  <si>
    <t>Borosil Renewables</t>
  </si>
  <si>
    <t>Conservative Investor</t>
  </si>
  <si>
    <t>Britannia Industries 2.4%</t>
  </si>
  <si>
    <t>Britannia Industries 4%</t>
  </si>
  <si>
    <t>Campus Activewear</t>
  </si>
  <si>
    <t>CE INFO System : 6%</t>
  </si>
  <si>
    <t>CE INFO System</t>
  </si>
  <si>
    <t xml:space="preserve">CE Info Systems </t>
  </si>
  <si>
    <t>Credo Brands Marketing</t>
  </si>
  <si>
    <t>Crompton Greaves Consumer Electrical</t>
  </si>
  <si>
    <t>Cummins India: 6.7%</t>
  </si>
  <si>
    <t>Cummins India</t>
  </si>
  <si>
    <t>Dr. Lal Pathlabs</t>
  </si>
  <si>
    <t>Dr. Reddy's Laboratories 2.4%</t>
  </si>
  <si>
    <t>Dr. Reddy's Laboratories</t>
  </si>
  <si>
    <t>© Eicher Motors 4%</t>
  </si>
  <si>
    <t>Electronics Mart Indi</t>
  </si>
  <si>
    <t>Gujarat Fluorochemicals</t>
  </si>
  <si>
    <t>HCL Technologies: 4%</t>
  </si>
  <si>
    <t>HCL Technologie</t>
  </si>
  <si>
    <t>HCL Technologies 2.4%</t>
  </si>
  <si>
    <t>HCL Technologies</t>
  </si>
  <si>
    <t>HDFC Bank</t>
  </si>
  <si>
    <t xml:space="preserve"> HDFC Bank 3.6%</t>
  </si>
  <si>
    <t>HDFC Bank 4%</t>
  </si>
  <si>
    <t>HDFC Life Insurance Company 4%</t>
  </si>
  <si>
    <t>HDFC Life Insurance Company</t>
  </si>
  <si>
    <t xml:space="preserve"> ICIC Bank 4%</t>
  </si>
  <si>
    <t>ICIC Bank</t>
  </si>
  <si>
    <t>ICICI Ban</t>
  </si>
  <si>
    <t>Interglobe Aviation</t>
  </si>
  <si>
    <t>ITC: 2.4%</t>
  </si>
  <si>
    <t>ITC</t>
  </si>
  <si>
    <t>Kalyan Jewellers India: 6.7%</t>
  </si>
  <si>
    <t>Kotak Mahindra Bank 3%</t>
  </si>
  <si>
    <t>Kotak Mahindra Bank</t>
  </si>
  <si>
    <t>L&amp;T Finance</t>
  </si>
  <si>
    <t>Larsen &amp; Toubro: 3%</t>
  </si>
  <si>
    <t>Larsen &amp; Toubr</t>
  </si>
  <si>
    <t>Larsen &amp; Toubro: 4%</t>
  </si>
  <si>
    <t>Macrotech Developers</t>
  </si>
  <si>
    <t>Mahindra &amp; Mahindra 3%</t>
  </si>
  <si>
    <t>Mahindra &amp; Mahindra</t>
  </si>
  <si>
    <t>Muthoot Finance: 2.4%</t>
  </si>
  <si>
    <t>Muthoot Finance:</t>
  </si>
  <si>
    <t>Muthoot Microfin</t>
  </si>
  <si>
    <t>NTPC</t>
  </si>
  <si>
    <t>Oil India: 6.6%</t>
  </si>
  <si>
    <t>Oil India</t>
  </si>
  <si>
    <t>Pidilite Industries 3%</t>
  </si>
  <si>
    <t>Pidilite Industries</t>
  </si>
  <si>
    <t>Power Grid Corporation Of India 2,4%</t>
  </si>
  <si>
    <t>Power Grid Corporation Of India</t>
  </si>
  <si>
    <t>Power Grid Corporation Of India</t>
  </si>
  <si>
    <t>RateGain Travel Technologies</t>
  </si>
  <si>
    <t>Reliance Industries 4%</t>
  </si>
  <si>
    <t xml:space="preserve">Reliance Industries </t>
  </si>
  <si>
    <t>Restaurant Brands Asi</t>
  </si>
  <si>
    <t>Samvardhana Motherson International : 6.7%</t>
  </si>
  <si>
    <t>Shriram Finance: 6.6%</t>
  </si>
  <si>
    <t>Shriram Finance</t>
  </si>
  <si>
    <t xml:space="preserve">Sona BLW Precision Forgings </t>
  </si>
  <si>
    <t>Star Health and Allied Insurance Company</t>
  </si>
  <si>
    <t>Tata Consumer Products</t>
  </si>
  <si>
    <t>Tata Motors</t>
  </si>
  <si>
    <t xml:space="preserve">Tata Motors </t>
  </si>
  <si>
    <t>Tata Power Company 4%</t>
  </si>
  <si>
    <t xml:space="preserve">Tata Power Company </t>
  </si>
  <si>
    <t>Tejas Networks</t>
  </si>
  <si>
    <t>Trent: 6.7%</t>
  </si>
  <si>
    <t>Trent</t>
  </si>
  <si>
    <t>Triveni Turbine</t>
  </si>
  <si>
    <t>Tube Investments of India</t>
  </si>
  <si>
    <t xml:space="preserve">Tube Investments of India </t>
  </si>
  <si>
    <t>Ultratech Cement 4%</t>
  </si>
  <si>
    <t>Ultratech Cement</t>
  </si>
  <si>
    <t>UNO Minda: 6.7%</t>
  </si>
  <si>
    <t>UNO Minda</t>
  </si>
  <si>
    <t>Varun Beverages</t>
  </si>
  <si>
    <t>Vedant Fashions</t>
  </si>
  <si>
    <t>V-Mart Retail : 6.6%</t>
  </si>
  <si>
    <t>V-Mart Retail</t>
  </si>
  <si>
    <t>Voltas : 6.6%</t>
  </si>
  <si>
    <t>Voltas</t>
  </si>
  <si>
    <t>Zen Technologies</t>
  </si>
  <si>
    <t>Zomato : 6.7%</t>
  </si>
  <si>
    <t>Porfolio</t>
  </si>
  <si>
    <t>conservative</t>
  </si>
  <si>
    <t>Aditya Birla SL Corp Bond Fund(G)-Direct Plan (MF) : 20%</t>
  </si>
  <si>
    <t>regular income</t>
  </si>
  <si>
    <t>Aditya Birla SL Liquid Fund(G)-Direct Plan (MF) : 15%</t>
  </si>
  <si>
    <t>Canara Rob Equity Hybrid Fund(G)-Direct Plan (MF) : 14%</t>
  </si>
  <si>
    <t>Wealth</t>
  </si>
  <si>
    <t>DSP Small Calhfund(G)-Direct Plan (MF) : 15%</t>
  </si>
  <si>
    <t>Moderator</t>
  </si>
  <si>
    <t>DSP Small Cap Fund(G)-Direct Plan (MF) : 10%</t>
  </si>
  <si>
    <t>Growth</t>
  </si>
  <si>
    <t>DSP Small Cap Fund(G)-Direct Plan (MF) : 6.125%</t>
  </si>
  <si>
    <t>ICIC Pru Equity &amp; Debt Fund (C)-Direct Plan (MF) : 14%</t>
  </si>
  <si>
    <t>ICICI Pru Balanced Advantage Fund(G)-Direct Plan (MF) : 20%</t>
  </si>
  <si>
    <t>ICICI Pru Corp Bond Fund Growth (Debt) (MF) : 10%</t>
  </si>
  <si>
    <t>ICICI Pru Corp Bond Fund(G)-Direct Plan (MF) : 20%</t>
  </si>
  <si>
    <t>Kotak Emerging Equity Fund(G)-Direct Plan (MF) : 10%  Mid Cap</t>
  </si>
  <si>
    <t>Kotak Emerging Equity Fund(G)-Direct Plan (MF) : 20%</t>
  </si>
  <si>
    <t>Kotak Emerging Equity Fund(G)-Direct Plan (MF) : 6.125%</t>
  </si>
  <si>
    <t>Mirae Asset Tax Saver Fund(G)-Direct Plan (MF) : 0%</t>
  </si>
  <si>
    <t>Motilal Oswal Nifty Microcap 250 Index Fund(G)-Direct Plan (MF) : 5%</t>
  </si>
  <si>
    <t>Nippon India Multi Cap Fund(G)-Direct Plan (MF) : 11.375%</t>
  </si>
  <si>
    <t xml:space="preserve">Nippon India Multi Cap Fund(G)-Direct Plan (MF) : 20% </t>
  </si>
  <si>
    <t>Nippon India Nifty 50 Value 20 Index Fund(G)-Direct Plan (MF) : 14%</t>
  </si>
  <si>
    <t>Nippon India Nifty 50 Value 20 Index Fund(G)-Direct Plan (MF) : 30%</t>
  </si>
  <si>
    <t>Parag Parikh Flexi Cap Fund(C)-Direct Plan (MF) : 8%</t>
  </si>
  <si>
    <t>FLEXI</t>
  </si>
  <si>
    <t xml:space="preserve">Parag Parikh Flexi Cap Fund(G)-Direct Plan (MF) : 11.375% </t>
  </si>
  <si>
    <t>Parag Parikh Flexi Cap Fund(G)-Direct Plan (MF) : 14%</t>
  </si>
  <si>
    <t>Parag Parikh Flexi Cap Fund(G)-Direct Plan (MF) : 15%</t>
  </si>
  <si>
    <t>SBI Equity Hybrid Fund(G)-Direct Plan (MF) : 25%</t>
  </si>
  <si>
    <t>SBI Gold(G)-Difect Plan (MF) : 10%</t>
  </si>
  <si>
    <t>SBI Gold(G)-Direct Plan (MF) : 5%</t>
  </si>
  <si>
    <t>Market Cap</t>
  </si>
  <si>
    <t>Fund (%)</t>
  </si>
  <si>
    <t>Category Average (%)</t>
  </si>
  <si>
    <t>Large Cap</t>
  </si>
  <si>
    <t>Mid Cap</t>
  </si>
  <si>
    <t>Small Cap</t>
  </si>
  <si>
    <t>Cash &amp; Others</t>
  </si>
  <si>
    <t>Overseas Equities</t>
  </si>
  <si>
    <t>Sector</t>
  </si>
  <si>
    <t>Bank - Private</t>
  </si>
  <si>
    <t>Miscellaneous</t>
  </si>
  <si>
    <t>Finance - NBFC</t>
  </si>
  <si>
    <t>Power</t>
  </si>
  <si>
    <t>Mining &amp; Minerals</t>
  </si>
  <si>
    <t>INVESTED</t>
  </si>
  <si>
    <t>TYPE</t>
  </si>
  <si>
    <t>INVESTED K</t>
  </si>
  <si>
    <t>Current Value K</t>
  </si>
  <si>
    <t>Loss in K</t>
  </si>
  <si>
    <t>Electronic Manufacturing Services ("EMS")/plastic</t>
  </si>
  <si>
    <t>Avalon (Zdha + shkh+ grow)</t>
  </si>
  <si>
    <t xml:space="preserve">Robinhood </t>
  </si>
  <si>
    <t xml:space="preserve">Kaynes Technology </t>
  </si>
  <si>
    <t>Merrill</t>
  </si>
  <si>
    <t>PG Electroplast</t>
  </si>
  <si>
    <t>INVESTED IN USD in K</t>
  </si>
  <si>
    <t>CASH GROW</t>
  </si>
  <si>
    <t>INVESTED IN INR</t>
  </si>
  <si>
    <t>Telecommunications - Equipment</t>
  </si>
  <si>
    <t>BHARTI AIRTEL</t>
  </si>
  <si>
    <t>USA STOCK</t>
  </si>
  <si>
    <t>DEFENCE</t>
  </si>
  <si>
    <t>ZEN TECH</t>
  </si>
  <si>
    <t> Fashion/Jewellery </t>
  </si>
  <si>
    <t>HEALTH</t>
  </si>
  <si>
    <t xml:space="preserve">Star Health </t>
  </si>
  <si>
    <t>KRISHNA DEFENCE</t>
  </si>
  <si>
    <t>Electronics Equipment</t>
  </si>
  <si>
    <t>AVALON</t>
  </si>
  <si>
    <t>MOTOR</t>
  </si>
  <si>
    <t>TEJAS NETWORK</t>
  </si>
  <si>
    <t>PG ELECTOPLAST</t>
  </si>
  <si>
    <t> Agro Chemicals </t>
  </si>
  <si>
    <t>PI Industries</t>
  </si>
  <si>
    <t>FINANCE</t>
  </si>
  <si>
    <t>HINDUSTAN FOOD</t>
  </si>
  <si>
    <t>CAB</t>
  </si>
  <si>
    <t xml:space="preserve">ICICI  (2 STAR)  </t>
  </si>
  <si>
    <t xml:space="preserve">IDFC FIRST BANK (5 STAR)  </t>
  </si>
  <si>
    <t>Muthoot FINANCE (1STAR)</t>
  </si>
  <si>
    <t>Mining / Minerals / Metals</t>
  </si>
  <si>
    <t>Godawari Power &amp; Ispat</t>
  </si>
  <si>
    <t>MUTHOOT MICROFIN (1STAR)</t>
  </si>
  <si>
    <t>Bajaj Financ</t>
  </si>
  <si>
    <t xml:space="preserve">Five Star </t>
  </si>
  <si>
    <t xml:space="preserve">Poonawalla fin(5 STAR)  </t>
  </si>
  <si>
    <t>INSURANCE/HEALTH</t>
  </si>
  <si>
    <t>Star Health and Allied Insurance</t>
  </si>
  <si>
    <t>KODAK BANK</t>
  </si>
  <si>
    <t>BAJA FIN</t>
  </si>
  <si>
    <t>BUY MORE</t>
  </si>
  <si>
    <t>BUY: CHART IS PERFECT</t>
  </si>
  <si>
    <t>POWER</t>
  </si>
  <si>
    <t>ICEMAKE</t>
  </si>
  <si>
    <t>Automobile</t>
  </si>
  <si>
    <t xml:space="preserve">EICHER </t>
  </si>
  <si>
    <t>cargo containers Castings &amp; Forgings</t>
  </si>
  <si>
    <t>Kalyani Cast-Tech</t>
  </si>
  <si>
    <t xml:space="preserve">KrishCA </t>
  </si>
  <si>
    <t>Indotech-Transformers</t>
  </si>
  <si>
    <t> Fashion Jewellery </t>
  </si>
  <si>
    <t>PNGS Gargi Fashion Jewellery CP 830 PE 45.3</t>
  </si>
  <si>
    <t>EPC</t>
  </si>
  <si>
    <t>WASTE/RECYCLE</t>
  </si>
  <si>
    <t xml:space="preserve">GEM ENVIRO </t>
  </si>
  <si>
    <t>RATE GAIN</t>
  </si>
  <si>
    <t>Liqor/Alcohal</t>
  </si>
  <si>
    <t> Infrastructure Developers</t>
  </si>
  <si>
    <t xml:space="preserve">Oberoi Realty </t>
  </si>
  <si>
    <t>SATHLOKHAR CP 234 PE 21.61</t>
  </si>
  <si>
    <t>INFRA/CEMENT</t>
  </si>
  <si>
    <t>Ambuja Cements(3 STAR)</t>
  </si>
  <si>
    <t>ZTECH</t>
  </si>
  <si>
    <t>SSEGL</t>
  </si>
  <si>
    <t xml:space="preserve">PI Industries(5 Star) </t>
  </si>
  <si>
    <t xml:space="preserve">Deepak Nitrite </t>
  </si>
  <si>
    <t>IT - Software </t>
  </si>
  <si>
    <t>Shilchar Technologies Ltd //SALES 397 /PE 52 /EPS 120</t>
  </si>
  <si>
    <t>Supreme Power Equipment Ltd //SALES 107 /PE 55.2/EPS 5.6</t>
  </si>
  <si>
    <t>Indo Tech Transformers Ltd //SALES 492 /39.7/EPS 46</t>
  </si>
  <si>
    <t>Voltamp Transformers Ltd //Sales  1,722 / PE 40 / EPS 332.13</t>
  </si>
  <si>
    <t xml:space="preserve">RELAINCE INDUSTRIES  </t>
  </si>
  <si>
    <t>POWER/SOLAR</t>
  </si>
  <si>
    <t xml:space="preserve">TATA POWER </t>
  </si>
  <si>
    <t>Shilchar Technologies -Transformers</t>
  </si>
  <si>
    <t>10% DOWN</t>
  </si>
  <si>
    <t>Engineering, Procurement and Construction (EPC)</t>
  </si>
  <si>
    <t>Bullish BUY CHART BREAKOUT</t>
  </si>
  <si>
    <t>Tinna Rubber &amp; Infrastructure Ltd PE 61.2 /EPS 29 /SALES 419 / PAT 49.6/OPM 18% ROCE 32.6 ROE 36.</t>
  </si>
  <si>
    <t>Antony Waste Handling Cell Ltd PE 25.6 /EPS 10.3 /SALES 879 / PAT 98.6/OPM 20.6% ROCE 13.9 ROE 16.3%.</t>
  </si>
  <si>
    <t>Va Tech Wabag Ltd PE 33 /EPS 40 /SALES 2930 / PAT 256/OPM 13%</t>
  </si>
  <si>
    <t>Eco Recycling Ltd PE 79.6 /EPS 10.3 /SALES 34 / PAT 20/OPM 63% ROCE 33.7 ROE 28.6%.</t>
  </si>
  <si>
    <t>GEM ENVIRO PE 44.4 /EPS 5.37 /SALES 33.6 / PAT 11.3 /OPM 43.6% ROCE 63.4 ROE 46.9%.</t>
  </si>
  <si>
    <t>ADD MORE</t>
  </si>
  <si>
    <t>CHEMICAL</t>
  </si>
  <si>
    <t xml:space="preserve">Industry: Trading/luxury and premium watch </t>
  </si>
  <si>
    <t>BUY Below 60 PE</t>
  </si>
  <si>
    <t xml:space="preserve">Electronics - Components/plastic </t>
  </si>
  <si>
    <t>Sector: Logistics Industry: Couriers</t>
  </si>
  <si>
    <t>Blue Dart Express Ltd</t>
  </si>
  <si>
    <t>Misleneous</t>
  </si>
  <si>
    <t> POLYPLEX CORPORATION LTD.</t>
  </si>
  <si>
    <t> RAJESH EXPORTS LTD</t>
  </si>
  <si>
    <t> KANSAI NEROLAC PAINTS LIMITED</t>
  </si>
  <si>
    <t> INDIGO PAINTS LIMITED</t>
  </si>
  <si>
    <t>RAMCO</t>
  </si>
  <si>
    <t>CASH</t>
  </si>
  <si>
    <t>Mostly LargCAP</t>
  </si>
  <si>
    <t>Moderate Investor/Wealth Creation - Core MF Investor //Regular Income with Growth - MF Only Investor</t>
  </si>
  <si>
    <t>POONAWALA</t>
  </si>
  <si>
    <t>BAJAJ FINANCE</t>
  </si>
  <si>
    <t>LargeCAP</t>
  </si>
  <si>
    <t>Relaince Industries</t>
  </si>
  <si>
    <t>Britania</t>
  </si>
  <si>
    <t>bhartiAirtel</t>
  </si>
  <si>
    <t>TataPower</t>
  </si>
  <si>
    <t>HDFLife</t>
  </si>
  <si>
    <t>ICICI BANK</t>
  </si>
  <si>
    <t>EICHERMotors</t>
  </si>
  <si>
    <t>Muthoot Finance</t>
  </si>
  <si>
    <t>KPIT TECH</t>
  </si>
  <si>
    <t>STAR Health</t>
  </si>
  <si>
    <t>IDFC BANK</t>
  </si>
  <si>
    <t>ICICI Pru Equity &amp; Debt Fund</t>
  </si>
  <si>
    <t>Hybrid - Aggressive Hybrid</t>
  </si>
  <si>
    <t>Canara Rob Equity Hybrid Fund</t>
  </si>
  <si>
    <t>Nippon India Nifty 50 Value 20 Index Fund</t>
  </si>
  <si>
    <t>Conservative Investor/Wealth Creation - Core MF Investor</t>
  </si>
  <si>
    <t>Category 1 :Equity - Large Cap</t>
  </si>
  <si>
    <t>Nippon India Multi Cap Fund</t>
  </si>
  <si>
    <t>Growth Investor/Wealth Creation - Core MF Investor</t>
  </si>
  <si>
    <t>Category :Equity - Multi Cap</t>
  </si>
  <si>
    <t>ICICI Pru Balanced Advantage Fund</t>
  </si>
  <si>
    <t>Regular Income with Growth - MF Only Investor</t>
  </si>
  <si>
    <t>Hybrid - Balanced Advantage/Dynamic Asset Allocation</t>
  </si>
  <si>
    <t>SBI Equity Hybrid Fund</t>
  </si>
  <si>
    <t>stock</t>
  </si>
  <si>
    <t>share</t>
  </si>
  <si>
    <t>Motilal Oswal Nifty Microcap 250 Index Fund</t>
  </si>
  <si>
    <t>Kirloskar Oil Engines Limited</t>
  </si>
  <si>
    <t>Jaiprakash Power Ventures Limited</t>
  </si>
  <si>
    <t>Reliance Power Limited</t>
  </si>
  <si>
    <t>CMS Info System Limited</t>
  </si>
  <si>
    <t>Voltamp Transformers Limited</t>
  </si>
  <si>
    <t>Religare Enterprises Limited</t>
  </si>
  <si>
    <t>The Karnataka Bank Limited</t>
  </si>
  <si>
    <t>Hindustan Construction Company Limited</t>
  </si>
  <si>
    <t>Astra Microwave Products Limited</t>
  </si>
  <si>
    <t>Neuland Laboratories Limited</t>
  </si>
  <si>
    <t>Anant Raj Limited</t>
  </si>
  <si>
    <t>Strides Pharma Science Limited</t>
  </si>
  <si>
    <t>BASF India Limited</t>
  </si>
  <si>
    <t>&lt; 1%</t>
  </si>
  <si>
    <t>The South Indian Bank Limited</t>
  </si>
  <si>
    <t>Techno Electric &amp; Engineering Company Limited</t>
  </si>
  <si>
    <t>TVS Holdings Limited</t>
  </si>
  <si>
    <t>Electrosteel Castings Limited</t>
  </si>
  <si>
    <t>Nava Limited</t>
  </si>
  <si>
    <t>Wockhardt Limited</t>
  </si>
  <si>
    <t>VA Tech Wabag Limited</t>
  </si>
  <si>
    <t>Equinox India Developments Limited</t>
  </si>
  <si>
    <t>Newgen Software Technologies Limited</t>
  </si>
  <si>
    <t>Zen Technologies Limited</t>
  </si>
  <si>
    <t>Kirloskar Brothers Limited</t>
  </si>
  <si>
    <t>Reliance Infrastructure Limited</t>
  </si>
  <si>
    <t>Gokaldas Exports Limited</t>
  </si>
  <si>
    <t>Arvind Limited</t>
  </si>
  <si>
    <t>ION Exchange (India) Limited</t>
  </si>
  <si>
    <t>Supreme Petrochem Limited</t>
  </si>
  <si>
    <t>IFCI Limited</t>
  </si>
  <si>
    <t>Texmaco Rail &amp; Engineering Limited</t>
  </si>
  <si>
    <t>PTC India Limited</t>
  </si>
  <si>
    <t>PG Electroplast Limited</t>
  </si>
  <si>
    <t>JK Tyre &amp; Industries Limited</t>
  </si>
  <si>
    <t>KPI Green Energy Limited</t>
  </si>
  <si>
    <t>Jupiter Life Line Hospitals Limited</t>
  </si>
  <si>
    <t>Shipping Corporation Of India Limited</t>
  </si>
  <si>
    <t>RattanIndia Power Limited</t>
  </si>
  <si>
    <t>ITD Cementation India Limited</t>
  </si>
  <si>
    <t>Infibeam Avenues Limited</t>
  </si>
  <si>
    <t>Rategain Travel Technologies Limited</t>
  </si>
  <si>
    <t>G R Infraprojects Limited</t>
  </si>
  <si>
    <t>Marksans Pharma Limited</t>
  </si>
  <si>
    <t>Thomas Cook (India) Limited</t>
  </si>
  <si>
    <t>Sudarshan Chemical Industries Limited</t>
  </si>
  <si>
    <t>Ahluwalia Contracts (India) Limited</t>
  </si>
  <si>
    <t>ISGEC Heavy Engineering Limited</t>
  </si>
  <si>
    <t>GHCL Limited</t>
  </si>
  <si>
    <t>Lloyds Engineering Works Limited</t>
  </si>
  <si>
    <t>TD Power Systems Limited</t>
  </si>
  <si>
    <t>Power Mech Projects Limited</t>
  </si>
  <si>
    <t>LT Foods Limited</t>
  </si>
  <si>
    <t>Mrs. Bectors Food Specialities Limited</t>
  </si>
  <si>
    <t>Sansera Engineering Limited</t>
  </si>
  <si>
    <t>Edelweiss Financial Services Limited</t>
  </si>
  <si>
    <t>TeamLease Services Limited</t>
  </si>
  <si>
    <t>Paisalo Digital Limited</t>
  </si>
  <si>
    <t>Suprajit Engineering Limited</t>
  </si>
  <si>
    <t>Bajaj Hindusthan Sugar Limited</t>
  </si>
  <si>
    <t>Sheela Foam Limited</t>
  </si>
  <si>
    <t>NIIT Learning Systems Limited</t>
  </si>
  <si>
    <t>TTK Prestige Limited</t>
  </si>
  <si>
    <t>Orient Cement Limited</t>
  </si>
  <si>
    <t>Valor Estate Limited</t>
  </si>
  <si>
    <t>Kesoram Industries Limited</t>
  </si>
  <si>
    <t>V-Mart Retail Limited</t>
  </si>
  <si>
    <t>Gateway Distriparks Limited</t>
  </si>
  <si>
    <t>Arvind Fashions Limited</t>
  </si>
  <si>
    <t>Time Technoplast Limited</t>
  </si>
  <si>
    <t>Shilpa Medicare Limited</t>
  </si>
  <si>
    <t>Pricol Limited</t>
  </si>
  <si>
    <t>Gravita India Limited</t>
  </si>
  <si>
    <t>NOCIL Limited</t>
  </si>
  <si>
    <t>MOIL Limited</t>
  </si>
  <si>
    <t>Ingersoll Rand (India) Limited</t>
  </si>
  <si>
    <t>J.Kumar Infraprojects Limited</t>
  </si>
  <si>
    <t>ETHOS LTD.</t>
  </si>
  <si>
    <t>Rain Industries Limited</t>
  </si>
  <si>
    <t>Orient Electric Limited</t>
  </si>
  <si>
    <t>Nazara Technologies Limited</t>
  </si>
  <si>
    <t>DCB Bank Limited</t>
  </si>
  <si>
    <t>Ashoka Buildcon Limited</t>
  </si>
  <si>
    <t>Paradeep Phosphates Limited</t>
  </si>
  <si>
    <t>Netweb Technologies India Limited</t>
  </si>
  <si>
    <t>Welspun Enterprises Limited</t>
  </si>
  <si>
    <t>Choice International Limited</t>
  </si>
  <si>
    <t>Tega Industries Limited</t>
  </si>
  <si>
    <t>Ami Organics Limited</t>
  </si>
  <si>
    <t>Indo Count Industries Limited</t>
  </si>
  <si>
    <t>Gabriel India Limited</t>
  </si>
  <si>
    <t>Galaxy Surfactants Limited</t>
  </si>
  <si>
    <t>Zydus Wellness Limited</t>
  </si>
  <si>
    <t>Aarti Pharmalabs Limited</t>
  </si>
  <si>
    <t>Sula Vineyards Ltd</t>
  </si>
  <si>
    <t>Patel Engineering Limited</t>
  </si>
  <si>
    <t>LG Balakrishnan &amp; Bros Limited</t>
  </si>
  <si>
    <t>Go Fashion (India) Limited</t>
  </si>
  <si>
    <t>Shoppers Stop Limited</t>
  </si>
  <si>
    <t>TIPS Industries Limited</t>
  </si>
  <si>
    <t>Jamna Auto Industries Limited</t>
  </si>
  <si>
    <t>Rallis India Limited</t>
  </si>
  <si>
    <t>Inox India Limited</t>
  </si>
  <si>
    <t>Godrej Agrovet Limited</t>
  </si>
  <si>
    <t>Puravankara Limited</t>
  </si>
  <si>
    <t>Sanghvi Movers Limited</t>
  </si>
  <si>
    <t>Hindustan Oil Exploration Company Limited</t>
  </si>
  <si>
    <t>CARE Ratings Limited</t>
  </si>
  <si>
    <t>Redtape Limited</t>
  </si>
  <si>
    <t>JSW Holdings Limited</t>
  </si>
  <si>
    <t>H.G. Infra Engineering Limited</t>
  </si>
  <si>
    <t>Dodla Dairy Limited</t>
  </si>
  <si>
    <t>Jain Irrigation Systems Limited</t>
  </si>
  <si>
    <t>Jyoti CNC Automation Ltd</t>
  </si>
  <si>
    <t>PDS Limited</t>
  </si>
  <si>
    <t>Tilaknagar Industries Limited</t>
  </si>
  <si>
    <t>Sarda Energy &amp; Minerals Limited</t>
  </si>
  <si>
    <t>Samhi Hotels Limited</t>
  </si>
  <si>
    <t>eMudhra Limited</t>
  </si>
  <si>
    <t>Heritage Foods Limited</t>
  </si>
  <si>
    <t>SANDUR MANGANESE AND IRON ORES LTD</t>
  </si>
  <si>
    <t>Delta Corp Limited</t>
  </si>
  <si>
    <t>Surya Roshni Limited</t>
  </si>
  <si>
    <t>Mishra Dhatu Nigam Limited</t>
  </si>
  <si>
    <t>Man Infraconstruction Limited</t>
  </si>
  <si>
    <t>Azad Engineering Ltd</t>
  </si>
  <si>
    <t>Bajaj Consumer Care Limited</t>
  </si>
  <si>
    <t>MSTC Limited</t>
  </si>
  <si>
    <t>Dhanuka Agritech Limited</t>
  </si>
  <si>
    <t>Electronics Mart India Limited</t>
  </si>
  <si>
    <t>Dilip Buildcon Limited</t>
  </si>
  <si>
    <t>Cigniti Technologies Limited</t>
  </si>
  <si>
    <t>IIFL Securities Limited</t>
  </si>
  <si>
    <t>Bombay Dyeing &amp; Mfg Company Limited</t>
  </si>
  <si>
    <t>Garware Hi-Tech Films Limited</t>
  </si>
  <si>
    <t>TARC Limited</t>
  </si>
  <si>
    <t>The Orissa Minerals Development Company Limited</t>
  </si>
  <si>
    <t>Dish TV India Limited</t>
  </si>
  <si>
    <t>Cartrade Tech Limited</t>
  </si>
  <si>
    <t>Greenply Industries Limited</t>
  </si>
  <si>
    <t>Ganesh Housing Corporation Limited</t>
  </si>
  <si>
    <t>Kaveri Seed Company Limited</t>
  </si>
  <si>
    <t>Greenpanel Industries Limited</t>
  </si>
  <si>
    <t>Dhani Services Limited</t>
  </si>
  <si>
    <t>VRL Logistics Limited</t>
  </si>
  <si>
    <t>AGI Greenpac Limited</t>
  </si>
  <si>
    <t>Thirumalai Chemicals Limited</t>
  </si>
  <si>
    <t>Epigral Limited</t>
  </si>
  <si>
    <t>Nesco Limited</t>
  </si>
  <si>
    <t>Sharda Motor Industries Ltd.</t>
  </si>
  <si>
    <t>Advanced Enzyme Technologies Limited</t>
  </si>
  <si>
    <t>India Shelter Finance Corporation Limited</t>
  </si>
  <si>
    <t>Hemisphere Properties India Limited</t>
  </si>
  <si>
    <t>Balmer Lawrie &amp; Company Limited</t>
  </si>
  <si>
    <t>JTL Industries Limited</t>
  </si>
  <si>
    <t>Paras Defence and Space Technologies Limited</t>
  </si>
  <si>
    <t>Fusion Micro Finance Limited</t>
  </si>
  <si>
    <t>National Fertilizers Limited</t>
  </si>
  <si>
    <t>IFB Industries Limited</t>
  </si>
  <si>
    <t>Polyplex Corporation Limited</t>
  </si>
  <si>
    <t>SHIVALIK BIMETAL CONTROLS LIMITED</t>
  </si>
  <si>
    <t>D.B.Corp Limited</t>
  </si>
  <si>
    <t>Jai Corp Limited</t>
  </si>
  <si>
    <t>Greaves Cotton Limited</t>
  </si>
  <si>
    <t>Share India Securities Limited</t>
  </si>
  <si>
    <t>Star Cement Limited</t>
  </si>
  <si>
    <t>West Coast Paper Mills Limited</t>
  </si>
  <si>
    <t>Mas Financial Services Limited</t>
  </si>
  <si>
    <t>Sunflag Iron And Steel Company Limited</t>
  </si>
  <si>
    <t>Eveready Industries India Limited</t>
  </si>
  <si>
    <t>Aarti Drugs Limited</t>
  </si>
  <si>
    <t>Banco Products (I) Limited</t>
  </si>
  <si>
    <t>Sequent Scientific Limited</t>
  </si>
  <si>
    <t>Tide Water Oil Company (India) Limited</t>
  </si>
  <si>
    <t>HeidelbergCement India Limited</t>
  </si>
  <si>
    <t>Lux Industries Limited</t>
  </si>
  <si>
    <t>V.S.T Tillers Tractors Limited</t>
  </si>
  <si>
    <t>Gulf Oil Lubricants India Limited</t>
  </si>
  <si>
    <t>Juniper Hotels Limited</t>
  </si>
  <si>
    <t>Cyient Dlm Ltd</t>
  </si>
  <si>
    <t>Ramky Infrastructure Limited</t>
  </si>
  <si>
    <t>Senco Gold Limited</t>
  </si>
  <si>
    <t>DCX Systems Limited</t>
  </si>
  <si>
    <t>Hindware Home Innovation Limited</t>
  </si>
  <si>
    <t>Mahindra Logistics Limited</t>
  </si>
  <si>
    <t>NRB Bearing Limited</t>
  </si>
  <si>
    <t>Spandana Sphoorty Financial Limited</t>
  </si>
  <si>
    <t>Collateralized Borrowing &amp; Lending Obligation</t>
  </si>
  <si>
    <t>Fineotex Chemical Limited</t>
  </si>
  <si>
    <t>Rossari Biotech Limited</t>
  </si>
  <si>
    <t>Jaiprakash Associates Limited</t>
  </si>
  <si>
    <t>Wonderla Holidays Limited</t>
  </si>
  <si>
    <t>Bhansali Engineering Polymers Limited</t>
  </si>
  <si>
    <t>India Glycols Limited</t>
  </si>
  <si>
    <t>Johnson Controls - Hitachi Air Conditioning India Limited</t>
  </si>
  <si>
    <t>Globus Spirits Limited</t>
  </si>
  <si>
    <t>Gujarat Alkalies and Chemicals Limited</t>
  </si>
  <si>
    <t>Hikal Limited</t>
  </si>
  <si>
    <t>Navneet Education Limited</t>
  </si>
  <si>
    <t>Uflex Limited</t>
  </si>
  <si>
    <t>Dishman Carbogen Amcis Limited</t>
  </si>
  <si>
    <t>Stylam Industries Limited</t>
  </si>
  <si>
    <t>Avalon Technologies Limited</t>
  </si>
  <si>
    <t>Utkarsh Small Finance Bank Ltd</t>
  </si>
  <si>
    <t>Datamatics Global Services Limited</t>
  </si>
  <si>
    <t>Jtekt India Limited</t>
  </si>
  <si>
    <t>Landmark Cars Limited</t>
  </si>
  <si>
    <t>Ideaforge Technology Limited</t>
  </si>
  <si>
    <t>Barbeque Nation Hospitality Limited</t>
  </si>
  <si>
    <t>Sundaram Clayton Limited</t>
  </si>
  <si>
    <t>Krsnaa Diagnostics Limited</t>
  </si>
  <si>
    <t>Indoco Remedies Limited</t>
  </si>
  <si>
    <t>La Opala RG Limited</t>
  </si>
  <si>
    <t>Yatharth Hospital And Trauma Care Services Limited</t>
  </si>
  <si>
    <t>FIEM Industries Limited</t>
  </si>
  <si>
    <t>ASK Automotive Limited</t>
  </si>
  <si>
    <t>Blue Jet Healthcare Ltd</t>
  </si>
  <si>
    <t>Indian Metals &amp; Ferro Alloys Limited</t>
  </si>
  <si>
    <t>PSP Projects Limited</t>
  </si>
  <si>
    <t>Hathway Cable &amp; Datacom Limited</t>
  </si>
  <si>
    <t>Nucleus Software Exports Limited</t>
  </si>
  <si>
    <t>Jindal Worldwide Limited</t>
  </si>
  <si>
    <t>TCNS Clothing Co. Limited</t>
  </si>
  <si>
    <t>Fedbank Financial Services Limited</t>
  </si>
  <si>
    <t>Supriya Lifescience Limited</t>
  </si>
  <si>
    <t>Optiemus Infracom Ltd</t>
  </si>
  <si>
    <t>Camlin Fine Sciences Limited</t>
  </si>
  <si>
    <t>IOL Chemicals and Pharmaceuticals Limited</t>
  </si>
  <si>
    <t>HLE Glascoat Limited</t>
  </si>
  <si>
    <t>Venky's (India) Limited</t>
  </si>
  <si>
    <t>CONFIDENCE PETROLEUM INDIA LIMITED</t>
  </si>
  <si>
    <t>Sai Silks Kalamandir Limited</t>
  </si>
  <si>
    <t>Kolte - Patil Developers Limited</t>
  </si>
  <si>
    <t>Responsive Industries Limited</t>
  </si>
  <si>
    <t>Dreamfolks Services Limited</t>
  </si>
  <si>
    <t>Muthoot Microfin Ltd</t>
  </si>
  <si>
    <t>Gufic Biosciences Limited</t>
  </si>
  <si>
    <t>Steel Strips Wheels Limited</t>
  </si>
  <si>
    <t>Tarsons Products Limited</t>
  </si>
  <si>
    <t>Maithan Alloys Limited</t>
  </si>
  <si>
    <t>Dalmia Bharat Sugar and Industries Limited</t>
  </si>
  <si>
    <t>Uniparts India Limited</t>
  </si>
  <si>
    <t>Sindhu Trade Links Ltd.</t>
  </si>
  <si>
    <t>IKIO Lighting Limited</t>
  </si>
  <si>
    <t>Den Networks Limited</t>
  </si>
  <si>
    <t>Sagar Cements Limited</t>
  </si>
  <si>
    <t>Accelya Solutions India Limited</t>
  </si>
  <si>
    <t>India Pesticides Limited</t>
  </si>
  <si>
    <t>Flair Writing Industries</t>
  </si>
  <si>
    <t>Sanghi Industries Limited</t>
  </si>
  <si>
    <t>HMA Agro Industries Ltd.</t>
  </si>
  <si>
    <t>ESAF Small Finance Bank Ltd</t>
  </si>
  <si>
    <t>Net Receivables / (Payables)</t>
  </si>
  <si>
    <t>Instrument</t>
  </si>
  <si>
    <t>Qty.</t>
  </si>
  <si>
    <t>Avg. cost</t>
  </si>
  <si>
    <t>LTP</t>
  </si>
  <si>
    <t>Cur. val</t>
  </si>
  <si>
    <t>P&amp;L</t>
  </si>
  <si>
    <t>Net chg.</t>
  </si>
  <si>
    <t>Account</t>
  </si>
  <si>
    <t>STATUS</t>
  </si>
  <si>
    <t>sharekhan</t>
  </si>
  <si>
    <t>AVP infra</t>
  </si>
  <si>
    <t>MICROCAP</t>
  </si>
  <si>
    <t>AWHCL</t>
  </si>
  <si>
    <t>bajajfinance</t>
  </si>
  <si>
    <t>FIVESTAR</t>
  </si>
  <si>
    <t>HNDFDS</t>
  </si>
  <si>
    <t>KALYANI</t>
  </si>
  <si>
    <t>MUTHOOTFIN</t>
  </si>
  <si>
    <t>OBEROIRLTY</t>
  </si>
  <si>
    <t>SBCL</t>
  </si>
  <si>
    <t>SHAKTIPUMP-BE</t>
  </si>
  <si>
    <t>TECHNOE-BE</t>
  </si>
  <si>
    <t>USHAMART</t>
  </si>
  <si>
    <t>VOLTAMP</t>
  </si>
  <si>
    <t>ZENTEC</t>
  </si>
  <si>
    <t>Megatherm Induction LOT 400</t>
  </si>
  <si>
    <t xml:space="preserve"> BUY ZERODHA</t>
  </si>
  <si>
    <t>BUY GROWW</t>
  </si>
  <si>
    <t>Ceinsys Tech</t>
  </si>
  <si>
    <t>BUY ZERODHA</t>
  </si>
  <si>
    <t>Syngene International</t>
  </si>
  <si>
    <r>
      <rPr>
        <b/>
        <sz val="10"/>
        <color rgb="FFFF0000"/>
        <rFont val="Arial"/>
        <family val="2"/>
      </rPr>
      <t xml:space="preserve">Q1FY25 790(-2%)//PAT 76(9.6%) //FY25 3837(10%)//PAT 537(14%) </t>
    </r>
    <r>
      <rPr>
        <b/>
        <sz val="10"/>
        <color theme="1"/>
        <rFont val="Arial"/>
        <family val="2"/>
      </rPr>
      <t xml:space="preserve">
Q1FY23 808(%)//PAT 93(11.5%)
FY24 3489(9.27%)//PAT 510(14.6%)
FY23 3193(%)//PAT 464(14.5%)</t>
    </r>
  </si>
  <si>
    <r>
      <t>as a Biocon subsidiary is India's first Contract Research Organization (CRO) which expanded later to be an integrated service provider offering end-to-end drug discovery, development, and manufacturing services on a single platform (CRAMS). Total research &amp; manufacturing infrastructure for the company is spread across 1.9 million square feet across locations//</t>
    </r>
    <r>
      <rPr>
        <b/>
        <sz val="10"/>
        <color rgb="FFFF0000"/>
        <rFont val="Arial"/>
        <family val="2"/>
      </rPr>
      <t>We have incurred capex of around USD12 million during the quarter including upgrading the biologics manufacturing facility acquired in financial year 2024 which is on track to start operations in the second half of financial year 2025. Finally, let me say a few words about the
guidance. In the current financial year our expectation of improving business growth from the second half remains unchanged and we are on track to hit the guidance range that we provided last quarter.//We expect the EBITDA margin to be in the high 20s</t>
    </r>
    <r>
      <rPr>
        <b/>
        <sz val="10"/>
        <color theme="1"/>
        <rFont val="Arial"/>
        <family val="2"/>
      </rPr>
      <t>//Over 400+ patent filings by clients recognizing Syngene scientists</t>
    </r>
  </si>
  <si>
    <r>
      <rPr>
        <b/>
        <sz val="11"/>
        <color rgb="FF002060"/>
        <rFont val="Calibri"/>
        <family val="2"/>
        <scheme val="minor"/>
      </rPr>
      <t>Box builds</t>
    </r>
    <r>
      <rPr>
        <sz val="11"/>
        <color rgb="FF002060"/>
        <rFont val="Calibri"/>
        <family val="2"/>
        <scheme val="minor"/>
      </rPr>
      <t xml:space="preserve"> are used in many industries, including military, medical, commercial, and automotive. The process is customized to meet specific project requirements and can vary in complexity. Some common box build assembly processes include: Installing sub-assemblies, Installing other components, Routing cabling or wire harnesses, and Fabricating enclosures. </t>
    </r>
  </si>
  <si>
    <t>When building a box build, it's important to consider factors such as size, enclosure material, signal transmission, layout, and design. For example, metal enclosures may impede wireless signal transmission. Effective project management is also critical to the success of box build assemblies. A project manager can ensure that timelines are met, resources are used optimally, and communication and collaboration are clear among stakeholders.</t>
  </si>
  <si>
    <t>OEM - Turnkey - Box Build (39%): Specializes in delivering ‘Build To Print’ or ‘Build to Specializations services across diverse industry verticals, right from complex box builds to sub-systems and products.
OEM - Turnkey Solutions - Printed Circuit Board Assemblies ("PCBAs") (56%): Encompass PCBAs, cable harnesses, magnetics and plastics. Expertise ranges from prototyping to product realization, including mass manufacturing, ensuring a seamless and efficient manufacturing process.
Original Design Manufacturing (ODM) (2%): ODM offerings cover a wide range of solutions, including smart metering technology, smart street lighting, BLDC technology, inverter technology, gallium nitride-based charging technology and IoT solutions for smart consumer appliances and devices.
Product Design &amp; Engineering (3%): Offer a comprehensive range of engineering services, including Embedded Design, Firmware and Software Development, Mechanical Design, Prototyping and Regulatory/ Certification support.</t>
  </si>
  <si>
    <r>
      <t xml:space="preserve">
</t>
    </r>
    <r>
      <rPr>
        <b/>
        <sz val="11"/>
        <color rgb="FF002060"/>
        <rFont val="Calibri"/>
        <family val="2"/>
        <scheme val="minor"/>
      </rPr>
      <t xml:space="preserve">OEM Turnkey Solutions for Box Build </t>
    </r>
    <r>
      <rPr>
        <sz val="11"/>
        <color theme="1"/>
        <rFont val="Calibri"/>
        <family val="2"/>
        <scheme val="minor"/>
      </rPr>
      <t xml:space="preserve">
Specialisation in ‘Build to Print’ or ‘Build to Specications’ services
Extensive experience across diverse industry verticals
Expertise in handling complex box builds, sub-systems,and products
</t>
    </r>
    <r>
      <rPr>
        <b/>
        <sz val="11"/>
        <color rgb="FF002060"/>
        <rFont val="Calibri"/>
        <family val="2"/>
        <scheme val="minor"/>
      </rPr>
      <t xml:space="preserve">OEM Turnkey Solutions for Printed Circuit Board Assemblies (PCBAs)
</t>
    </r>
    <r>
      <rPr>
        <sz val="11"/>
        <color theme="1"/>
        <rFont val="Calibri"/>
        <family val="2"/>
        <scheme val="minor"/>
      </rPr>
      <t>Turnkey electronics manufacturing services encompassing PCBAs, cable harnesses, magnetics, and plastics
Expertise ranging from prototyping to product realisation, including mass manufacturing</t>
    </r>
  </si>
  <si>
    <t>Established manufacturing facility at Pune
Established Kaynes Semicon Private Limited, Kaynes Circuits India Private Limited and Kaynes Mechatronics Private Limited  Acquired Digicom
Electronics Inc, USA</t>
  </si>
  <si>
    <r>
      <t>Our vision to become an</t>
    </r>
    <r>
      <rPr>
        <b/>
        <sz val="11"/>
        <color theme="1"/>
        <rFont val="Calibri"/>
        <family val="2"/>
        <scheme val="minor"/>
      </rPr>
      <t xml:space="preserve"> integrated Electronics System Design &amp; Manufacturing (ESDM) player progressed signiant</t>
    </r>
    <r>
      <rPr>
        <sz val="11"/>
        <color theme="1"/>
        <rFont val="Calibri"/>
        <family val="2"/>
        <scheme val="minor"/>
      </rPr>
      <t>ly as we plan to expand capabilities in semiconductor assembly and PCBs. While we are expediting the process for certain pending government approvals, we remain condent in our ability to execute our growth plans seamlessly. Our multi-vertical approach, coupled with strategic acquisitions, has strengthened our business model’s
resilience and global reach. Looking ahead, we are optimistic about sustaining this remarkable growth trajectory while enhancing margins through cost optimisation and digitisation.
T</t>
    </r>
    <r>
      <rPr>
        <b/>
        <sz val="11"/>
        <color rgb="FF002060"/>
        <rFont val="Calibri"/>
        <family val="2"/>
        <scheme val="minor"/>
      </rPr>
      <t>he industrial and EV aerospace, outer space, and strategic electronics verticals led our growth due to strong demand. Our order book increased from  26,482 Mn at the end of FY 2022- 23 to  41,152 Mn at the end of FY 2023-24, with the monthly  average order inow rising from  2,788 Mn to  3,212 Mn  during this period. We also achieved signicant improvements in the working capital cycle, reduced from 99 days in FY 2022- 23 to 83 days in FY 2023-24. These factors, combined with our strategic initiatives, played a crucial role in our growth.</t>
    </r>
  </si>
  <si>
    <r>
      <t>We are also expanding our global reach, particularly in export markets, aided by strategic acquisitions like Digicom Electronics in the US. We are implementing cost optimisation initiatives, leveraging digitisation to drive process eficiencies, and undertaking capacity expansions, including a new integrated facility at Chamarajanagar, to support the surging order volumes. //</t>
    </r>
    <r>
      <rPr>
        <b/>
        <sz val="11"/>
        <color rgb="FF002060"/>
        <rFont val="Calibri"/>
        <family val="2"/>
        <scheme val="minor"/>
      </rPr>
      <t>Leveraging industry tailwinds  Well-positioned to benefit from growth in ESDM, semiconductor, PCB markets  Favourable factors like electronics consumption
growth, supply chain diversication, and policy support</t>
    </r>
  </si>
  <si>
    <r>
      <t xml:space="preserve">We are strategically expanding into the </t>
    </r>
    <r>
      <rPr>
        <b/>
        <sz val="11"/>
        <color rgb="FF002060"/>
        <rFont val="Calibri"/>
        <family val="2"/>
        <scheme val="minor"/>
      </rPr>
      <t>semiconductor</t>
    </r>
    <r>
      <rPr>
        <sz val="11"/>
        <color theme="1"/>
        <rFont val="Calibri"/>
        <family val="2"/>
        <scheme val="minor"/>
      </rPr>
      <t xml:space="preserve"> industry while maintaining our strong ESDM foundation.We are establishing an OSAT, pending finnal government approvals. These initiatives align with India’s US$ 10 Bn semiconductor incentive scheme and our goal to become an integrated electronics player. While our </t>
    </r>
    <r>
      <rPr>
        <b/>
        <sz val="11"/>
        <color rgb="FFC00000"/>
        <rFont val="Calibri"/>
        <family val="2"/>
        <scheme val="minor"/>
      </rPr>
      <t>ESDM business targets 60% growth in FY 2024-25,</t>
    </r>
    <r>
      <rPr>
        <sz val="11"/>
        <color theme="1"/>
        <rFont val="Calibri"/>
        <family val="2"/>
        <scheme val="minor"/>
      </rPr>
      <t xml:space="preserve"> we expect ou</t>
    </r>
    <r>
      <rPr>
        <b/>
        <sz val="11"/>
        <color rgb="FFC00000"/>
        <rFont val="Calibri"/>
        <family val="2"/>
        <scheme val="minor"/>
      </rPr>
      <t>r semiconducto</t>
    </r>
    <r>
      <rPr>
        <sz val="11"/>
        <color theme="1"/>
        <rFont val="Calibri"/>
        <family val="2"/>
        <scheme val="minor"/>
      </rPr>
      <t>r ventures to significantly contribute to revenues</t>
    </r>
    <r>
      <rPr>
        <b/>
        <sz val="11"/>
        <color rgb="FFC00000"/>
        <rFont val="Calibri"/>
        <family val="2"/>
        <scheme val="minor"/>
      </rPr>
      <t xml:space="preserve"> within 3-5 years</t>
    </r>
    <r>
      <rPr>
        <sz val="11"/>
        <color theme="1"/>
        <rFont val="Calibri"/>
        <family val="2"/>
        <scheme val="minor"/>
      </rPr>
      <t>, positioning us as a key player in India’s emerging semiconductor ecosystem</t>
    </r>
  </si>
  <si>
    <t>Equity Capital(Reserve exludlng)</t>
  </si>
  <si>
    <t xml:space="preserve">Cr </t>
  </si>
  <si>
    <t>Return on Equity (ROE)</t>
  </si>
  <si>
    <t> return the shareholder earns for every unit of capital invested  //measures the entity’s ability to generate profits from the shareholder’s investments.</t>
  </si>
  <si>
    <t xml:space="preserve"> ability to generate profits from the shareholder’s investments.// if the RoE is high, a good amount of cash is being generated by the company. Hence the need for external funds is less. Thus a higher ROE indicates a higher level of management performance.</t>
  </si>
  <si>
    <t> [Net Profit / Shareholders Equity (+ reserve)* 100]</t>
  </si>
  <si>
    <t>Surplus Reserve</t>
  </si>
  <si>
    <t>Cr</t>
  </si>
  <si>
    <t>Face value per share</t>
  </si>
  <si>
    <t>Return on Asset (ROA)</t>
  </si>
  <si>
    <t>outstanding Stocks</t>
  </si>
  <si>
    <t>Return on Capital Employed (ROCE)</t>
  </si>
  <si>
    <t>Overall Capital Employed = Short term Debt + Long term Debt + Equity</t>
  </si>
  <si>
    <t>ROCE = [Profit before Interest &amp; Taxes / Overall Capital Employed]</t>
  </si>
  <si>
    <t>CP</t>
  </si>
  <si>
    <t>BOOK VALUE PER SHARE in Rs</t>
  </si>
  <si>
    <t>The Earnings before Interest Tax Depreciation &amp; Amortization (EBITDA) margin</t>
  </si>
  <si>
    <t>EBITDA = [Operating Revenues – Operating Expense]</t>
  </si>
  <si>
    <t>Operating Expense = [Total Expense – Finance Cost – Depreciation &amp; Amortization]</t>
  </si>
  <si>
    <t>EBIDTA Margin = EBITDA / [Total Revenue – Other Income]</t>
  </si>
  <si>
    <r>
      <rPr>
        <b/>
        <sz val="10"/>
        <rFont val="Arial"/>
        <family val="2"/>
      </rPr>
      <t xml:space="preserve">Price to sales </t>
    </r>
    <r>
      <rPr>
        <sz val="10"/>
        <rFont val="Arial"/>
        <family val="2"/>
      </rPr>
      <t>ratio = Current Share Price / Sales per Share</t>
    </r>
  </si>
  <si>
    <t>Here is something that you need to remember while calculating the P/S ratio. Assume there are two companies (Company A and Company B) selling the same product //investors may use sales instead of earnings to value their investments. The earnings figure may not be true as some companies might be experiencing a cyclical low in their earning cycle. Additionally, due to some accounting rules, a profitable company may seem to have no earnings at all, due to the huge write-offs applicable to that industry. So, investors would prefer to use this ratio. This ratio compares the stock price of the company with the company’s sales per share. The formula to calculate the P/S ratio is:</t>
  </si>
  <si>
    <r>
      <rPr>
        <b/>
        <sz val="10"/>
        <rFont val="Arial"/>
        <family val="2"/>
      </rPr>
      <t xml:space="preserve">Sales per share = Total Revenues / Total number of shares ////Sales per share = 3482 / 17.081  = = Rs. 203.86 </t>
    </r>
    <r>
      <rPr>
        <sz val="10"/>
        <rFont val="Arial"/>
        <family val="2"/>
      </rPr>
      <t xml:space="preserve">   //Price to Sales Ratio = 661 / 203.86  =3.24x or 3.24 times //This means for every share outstanding, TCS does Rs.203.86 worth of sales. ///A P/S ratio of </t>
    </r>
    <r>
      <rPr>
        <b/>
        <sz val="10"/>
        <rFont val="Arial"/>
        <family val="2"/>
      </rPr>
      <t>3.24 times indicates that, for every Rs.1 of sales, the stock is valued Rs.3.24 times higher</t>
    </r>
    <r>
      <rPr>
        <sz val="10"/>
        <rFont val="Arial"/>
        <family val="2"/>
      </rPr>
      <t>. Obviously, the higher the P/S ratio, the higher is the valuation of the firm. One has to compare the P/S ratio with its competitors to get a fair sense of how expensive or cheap the stock is.</t>
    </r>
  </si>
  <si>
    <t>Earnings per Share EPS = PAT / Total Number of share</t>
  </si>
  <si>
    <t>Price to Earning (P/E) Ratio =Current Market Price  / EPS</t>
  </si>
  <si>
    <r>
      <rPr>
        <sz val="8"/>
        <color rgb="FF7030A0"/>
        <rFont val="Arial"/>
        <family val="2"/>
      </rPr>
      <t>Price to Book Value (P/BV) Ratio</t>
    </r>
    <r>
      <rPr>
        <sz val="8"/>
        <rFont val="Arial"/>
        <family val="2"/>
      </rPr>
      <t xml:space="preserve">  === CP/ BV Per Share   ///  </t>
    </r>
    <r>
      <rPr>
        <b/>
        <sz val="8"/>
        <color rgb="FF7030A0"/>
        <rFont val="Arial"/>
        <family val="2"/>
      </rPr>
      <t>BV</t>
    </r>
    <r>
      <rPr>
        <sz val="8"/>
        <rFont val="Arial"/>
        <family val="2"/>
      </rPr>
      <t xml:space="preserve"> </t>
    </r>
    <r>
      <rPr>
        <b/>
        <sz val="8"/>
        <color rgb="FF7030A0"/>
        <rFont val="Arial"/>
        <family val="2"/>
      </rPr>
      <t xml:space="preserve">per Share </t>
    </r>
    <r>
      <rPr>
        <sz val="8"/>
        <rFont val="Arial"/>
        <family val="2"/>
      </rPr>
      <t>= [Share Capital + Reserves (excluding revaluation reserves) / Total Number of shares]</t>
    </r>
  </si>
  <si>
    <t>Share Capital = Rs.17.1 Crs //Reserves = Rs.1345.6 Crs //Revaluation Reserves = 0//Number of shares: 17.081// Hence the Book Value per share = [17.1+1345.6 – 0] / 17.081 //= Rs.79.8 per share   ////get the price to the firm’s book value.The P/BV indicates how many times the stock is trading over and above the firm’s book value. Clearly, the higher the ratio, the more expensive the stock is.</t>
  </si>
  <si>
    <r>
      <t xml:space="preserve">  This means if ARBL were to liquidate all its assets and pay off its debt</t>
    </r>
    <r>
      <rPr>
        <b/>
        <sz val="8"/>
        <color rgb="FF7030A0"/>
        <rFont val="Arial"/>
        <family val="2"/>
      </rPr>
      <t>, Rs.79.8 per shares</t>
    </r>
    <r>
      <rPr>
        <sz val="8"/>
        <rFont val="Arial"/>
        <family val="2"/>
      </rPr>
      <t xml:space="preserve"> is what the shareholders can expect. ///P/BV = 661/79.8  = 8.3x or 8.3 times  its book value .//A high ratio could indicate that the firm is overvalued relative to the company’s equity/ book value. A low ratio could indicate the company is undervalued relative to the equity/ book value.</t>
    </r>
  </si>
  <si>
    <t>$1M</t>
  </si>
  <si>
    <t>8.3 CR</t>
  </si>
  <si>
    <t>Q4 2024 Expenses</t>
  </si>
  <si>
    <t>Income</t>
  </si>
  <si>
    <t>a) Cost of materials consumed</t>
  </si>
  <si>
    <t>in CR</t>
  </si>
  <si>
    <t>b) Purchases of stock-in-trade</t>
  </si>
  <si>
    <t>other income</t>
  </si>
  <si>
    <t>c) Changes in inventories of finished goods. \york-in-progress and stock in trade</t>
  </si>
  <si>
    <t>d) Empjoyee benefit expcnses</t>
  </si>
  <si>
    <t>e) Finance costs</t>
  </si>
  <si>
    <t>f) Depreciation and amonisation expenses</t>
  </si>
  <si>
    <t>g) Po\ver and Fuel</t>
  </si>
  <si>
    <t>h) Other expenses</t>
  </si>
  <si>
    <t>Total Expenses</t>
  </si>
  <si>
    <t>128CR</t>
  </si>
  <si>
    <t>EBITA</t>
  </si>
  <si>
    <t>Beat the Guideline</t>
  </si>
  <si>
    <t>PAT</t>
  </si>
  <si>
    <t>Q1 2025 Expenses</t>
  </si>
  <si>
    <t>T Income</t>
  </si>
  <si>
    <t>Beat the Guidaline</t>
  </si>
  <si>
    <t>EBITA Guidance WAS 22M</t>
  </si>
  <si>
    <t>182Cr</t>
  </si>
  <si>
    <t>97Cr</t>
  </si>
  <si>
    <t>SATHLOKHAR SYNERGYS E&amp;C GLOBAL</t>
  </si>
  <si>
    <t>X @rahularya7</t>
  </si>
  <si>
    <t>• SS Global, with an experience of 11 years, is an EPC and infra turnkey contractor company specialising across broad range of industrials like Solar, Hospital, Pharma, Hotel, warehousing to name a few. Net Net company works across the broad across 4 major states of Tamilnadu and Karnataka, UP and West Bengal</t>
  </si>
  <si>
    <t>• Company also participates in govt EPC projects via tendering. Its an authorised partner with TATA power solar systems for various EPC work.</t>
  </si>
  <si>
    <t>It is also MNRA</t>
  </si>
  <si>
    <t>approved vendor and also NLC approved contractor. Its a A grade approve contractor in various high tension - low tension electrical works.</t>
  </si>
  <si>
    <t>• Company is promoted by Mr and Mrs Thigayu who have both technical background.</t>
  </si>
  <si>
    <t>Board looks professional and qualified. Salary drawn by promoters at 3.2 cr pa.</t>
  </si>
  <si>
    <t>Promoters to hold 63% post IPO</t>
  </si>
  <si>
    <t>• Negligible outstanding litigation cases (Criminal case filed against promoter is baseless). RTPs of 7.5 cr with Sathlokhar Industries Private Limited but which is less than 5 % of the topline</t>
  </si>
  <si>
    <t>• IPO Issue: SS Global plans to raise 73 cr mainly for working capital purpose to be utilised over the next 2 years.</t>
  </si>
  <si>
    <t>• Company ties up with third party to bid for big projects. Contract are generally non binding in nature.</t>
  </si>
  <si>
    <t>• The business is capital intensive but the company has managed the same very well due to advances and operations via working with mostly private companies</t>
  </si>
  <si>
    <t>• Company uses machinery and equipment on a leased basis maintains a asset light model. Rental fees paid in 2024 was 11 cr.</t>
  </si>
  <si>
    <t>• Over the last 3 years, SS Global has seen tremendous growth. In last 3 years revenues rose from 58 cr (PAT margin at 6.6%) in FY 22 to 250 cr in FY24.</t>
  </si>
  <si>
    <t>• Financials: In FY 24 company has seen bottom line of 26 cr (PAT margins at 10.6%) .</t>
  </si>
  <si>
    <t>Cash flow has been positive for the last 2 years. Trades payable at 36 cr while trades receivable at 13 cr. Cash in hand at 9 cr.</t>
  </si>
  <si>
    <t>• Commendable to see that the company is nearly debt free except short term borrowing of just 10 cr.</t>
  </si>
  <si>
    <t>• Order Book: Company has an order book of whopping 667 cr as on April 2024 of which 435cr is unexecuted order book. Biggest order in a JV with Reliance Campa Cola of 201 cr. Total number of projects complete till date are 63. Total number of projects completed till date are worth 334 cr. Order pipeline of 4667 cr (expected to win 15% )</t>
  </si>
  <si>
    <t>• Total number of employees are 118 of which 90 are into engineering and operations.</t>
  </si>
  <si>
    <t>• Company had transferred 13.3% equity to 2 HNI investor @ 113 in June 2023 for working capital needs.</t>
  </si>
  <si>
    <t>USP of the company is in-house design of the project and 1 stop solution to the complete value chain of infra building in-house. No subcontracting done by the company .</t>
  </si>
  <si>
    <t>Expected to do a topline of 440 cr with similar margins. At upper price band of 140 company would be trading at 337cr mcap which is 13x FY 24. If it commands a 90% premium listing company would be trading at 25x FY 24 and 14x FY 25.</t>
  </si>
  <si>
    <t>Sno</t>
  </si>
  <si>
    <t>Mrkcap</t>
  </si>
  <si>
    <t>INVEST</t>
  </si>
  <si>
    <t>NEXT STEP</t>
  </si>
  <si>
    <t>CHART</t>
  </si>
  <si>
    <t>ADORWELD -SHKAN</t>
  </si>
  <si>
    <t>AVALON-KHAN</t>
  </si>
  <si>
    <t>AVALON-GROW</t>
  </si>
  <si>
    <t>BUYBUY</t>
  </si>
  <si>
    <t>AVALON-Zerodha</t>
  </si>
  <si>
    <t>AVP INFRA</t>
  </si>
  <si>
    <t>WAIT for Q1FY25</t>
  </si>
  <si>
    <t>BUY at a DIP</t>
  </si>
  <si>
    <t>WAIT FOR Q1</t>
  </si>
  <si>
    <r>
      <rPr>
        <b/>
        <sz val="11"/>
        <color rgb="FF7030A0"/>
        <rFont val="Calibri"/>
        <family val="2"/>
        <scheme val="minor"/>
      </rPr>
      <t>WAIT for Q1FY25</t>
    </r>
    <r>
      <rPr>
        <b/>
        <sz val="11"/>
        <color rgb="FFFF0000"/>
        <rFont val="Calibri"/>
        <family val="2"/>
        <scheme val="minor"/>
      </rPr>
      <t xml:space="preserve"> and SELL at above 70</t>
    </r>
  </si>
  <si>
    <t>Upside + consolidating</t>
  </si>
  <si>
    <t>SELL at above 70</t>
  </si>
  <si>
    <t>DRREDDY</t>
  </si>
  <si>
    <t>HOLD BUY at DIP</t>
  </si>
  <si>
    <t>All time High</t>
  </si>
  <si>
    <t>EICHERMOT</t>
  </si>
  <si>
    <t>ETHOSLTD</t>
  </si>
  <si>
    <t>FiveStar</t>
  </si>
  <si>
    <t>FiveSTAR</t>
  </si>
  <si>
    <t>Godawari pwr</t>
  </si>
  <si>
    <t>Small DOJI+ upside</t>
  </si>
  <si>
    <t>SELL at above 1200</t>
  </si>
  <si>
    <t>Q1FY25 IS not Good BUY AT DIP</t>
  </si>
  <si>
    <t>GRWRHITECH</t>
  </si>
  <si>
    <t>HINDUSTANFOOD</t>
  </si>
  <si>
    <t>Upside + Bullish</t>
  </si>
  <si>
    <t>Q1 is POOR</t>
  </si>
  <si>
    <t>IDFC First</t>
  </si>
  <si>
    <t>INDOTECH</t>
  </si>
  <si>
    <t>IndoTECH</t>
  </si>
  <si>
    <t>JAIBALAJI</t>
  </si>
  <si>
    <t>LONG TERM</t>
  </si>
  <si>
    <t>JAIBALAJI-BE</t>
  </si>
  <si>
    <r>
      <t>27,165</t>
    </r>
    <r>
      <rPr>
        <sz val="9"/>
        <color theme="1"/>
        <rFont val="Arial"/>
        <family val="2"/>
      </rPr>
      <t> </t>
    </r>
  </si>
  <si>
    <t>KILBRNNG</t>
  </si>
  <si>
    <t>KOTAKBANK</t>
  </si>
  <si>
    <t>KRISHCA</t>
  </si>
  <si>
    <t>Krishca</t>
  </si>
  <si>
    <t>MANINFRA</t>
  </si>
  <si>
    <t>NATCOPHARM</t>
  </si>
  <si>
    <t>PARACABLES</t>
  </si>
  <si>
    <t>PAUSHAKLTD</t>
  </si>
  <si>
    <t>POKARNA</t>
  </si>
  <si>
    <t>PRAJIND</t>
  </si>
  <si>
    <t>PRAVEG</t>
  </si>
  <si>
    <t>PVRINOX</t>
  </si>
  <si>
    <t>PYRAMID</t>
  </si>
  <si>
    <t>RSSOFTWARE-BE</t>
  </si>
  <si>
    <t>SAHLIBHFI</t>
  </si>
  <si>
    <t>SBCL Shivalik Bimetal</t>
  </si>
  <si>
    <t>SHALIFIN</t>
  </si>
  <si>
    <t>Shriram Finance Ltd</t>
  </si>
  <si>
    <r>
      <t>1,09,960</t>
    </r>
    <r>
      <rPr>
        <sz val="9"/>
        <color theme="1"/>
        <rFont val="Arial"/>
        <family val="2"/>
      </rPr>
      <t> </t>
    </r>
  </si>
  <si>
    <t>STAR HEALTH Insurance</t>
  </si>
  <si>
    <t>Staylam</t>
  </si>
  <si>
    <t>STYLAMIND</t>
  </si>
  <si>
    <t>SUPREMEPWR</t>
  </si>
  <si>
    <t>SWELECTES</t>
  </si>
  <si>
    <t>TATAELXSI</t>
  </si>
  <si>
    <t>TINNA</t>
  </si>
  <si>
    <t>TIPSINDLTD</t>
  </si>
  <si>
    <t>USHAMARTIN</t>
  </si>
  <si>
    <t>BUY at CP</t>
  </si>
  <si>
    <t xml:space="preserve">BUY at CP </t>
  </si>
  <si>
    <t>ZIMLAB</t>
  </si>
  <si>
    <t>Invested</t>
  </si>
  <si>
    <t>CASH Grow</t>
  </si>
  <si>
    <t>(All)</t>
  </si>
  <si>
    <t>Row Labels</t>
  </si>
  <si>
    <t>Sum of INVEST</t>
  </si>
  <si>
    <t>Prc%</t>
  </si>
  <si>
    <t>Grand Total</t>
  </si>
  <si>
    <t>Total  HoldingValue</t>
  </si>
  <si>
    <t>Total MarketValue</t>
  </si>
  <si>
    <t>DIFF</t>
  </si>
  <si>
    <t>%Prft/Loss</t>
  </si>
  <si>
    <t>Prft/Loss</t>
  </si>
  <si>
    <t> DATAPATTNS</t>
  </si>
  <si>
    <t>Sharekhan1</t>
  </si>
  <si>
    <t> ECLERX</t>
  </si>
  <si>
    <t> FIVESTAR</t>
  </si>
  <si>
    <t> INDOTECH</t>
  </si>
  <si>
    <t> PARACABLES</t>
  </si>
  <si>
    <t> PGEL</t>
  </si>
  <si>
    <t> PUNJABCHEM</t>
  </si>
  <si>
    <t> RAJESHEXPO</t>
  </si>
  <si>
    <t> RELTD</t>
  </si>
  <si>
    <t> RTNPOWER</t>
  </si>
  <si>
    <t> SNLBEAR</t>
  </si>
  <si>
    <t> USHAMART</t>
  </si>
  <si>
    <t> ZIMLAB</t>
  </si>
  <si>
    <t>Sharekhan2</t>
  </si>
  <si>
    <t>APEX</t>
  </si>
  <si>
    <t>ARE&amp;M</t>
  </si>
  <si>
    <t>ATAM</t>
  </si>
  <si>
    <t xml:space="preserve">SELL </t>
  </si>
  <si>
    <t>BEPL</t>
  </si>
  <si>
    <t>GPIL</t>
  </si>
  <si>
    <t>NHPC</t>
  </si>
  <si>
    <t>RELTD</t>
  </si>
  <si>
    <t>Shivalik Bimetal Controls</t>
  </si>
  <si>
    <t>SESHAPAPER</t>
  </si>
  <si>
    <t>DATAPATTNS</t>
  </si>
  <si>
    <t>AVALON TECHNOLOGIES LTD</t>
  </si>
  <si>
    <t>AVP INFRACON LIMITED</t>
  </si>
  <si>
    <t>BCL INDUSTRIES LIMITED</t>
  </si>
  <si>
    <t>CREDO BRANDS MARKETING L</t>
  </si>
  <si>
    <t>FIVE-STAR BUS FIN LTD</t>
  </si>
  <si>
    <t>GODAWARI POW &amp; ISP LTD</t>
  </si>
  <si>
    <t>HINDUSTAN FOODS LIMITED</t>
  </si>
  <si>
    <t>ICE MAKE REFRIGERAT LTD</t>
  </si>
  <si>
    <t>KILBURN ENGINEERING LTD.</t>
  </si>
  <si>
    <t>KRISHCA STRAPPING SLTN L</t>
  </si>
  <si>
    <t>PG ELECTROPLAST LTD</t>
  </si>
  <si>
    <t>POONAWALLA FINCORP LTD</t>
  </si>
  <si>
    <t>PRAJ INDUSTRIES LTD</t>
  </si>
  <si>
    <t>PUNJAB CHEM &amp; CROP PROT L</t>
  </si>
  <si>
    <t>RAVINDRA ENERGY LIMITED</t>
  </si>
  <si>
    <t>STAR HEALTH &amp; AL INS CO L</t>
  </si>
  <si>
    <t>STRLNG &amp; WIL REN ENE LTD</t>
  </si>
  <si>
    <t>STYLAM INDUSTRIES LIMITED</t>
  </si>
  <si>
    <t>TINNA RUBBER AND INFRASTRUCTUR</t>
  </si>
  <si>
    <t>USHA MARTIN LTD.</t>
  </si>
  <si>
    <t>VA TECH WABAG LTD</t>
  </si>
  <si>
    <t>ZEN TECHNOLOGIES LIMITED</t>
  </si>
  <si>
    <t>Total Diff</t>
  </si>
  <si>
    <t xml:space="preserve"> in XL </t>
  </si>
  <si>
    <t>RTNPOWER</t>
  </si>
  <si>
    <t>SNLBEAR</t>
  </si>
  <si>
    <t>Rating</t>
  </si>
  <si>
    <t>Company</t>
  </si>
  <si>
    <t>Industry</t>
  </si>
  <si>
    <t>Governance</t>
  </si>
  <si>
    <t>Financials</t>
  </si>
  <si>
    <t>Valuation</t>
  </si>
  <si>
    <t>Status</t>
  </si>
  <si>
    <t>BEST pick for max 3</t>
  </si>
  <si>
    <t>ALL OK</t>
  </si>
  <si>
    <t>NEED TO BUY ASAP</t>
  </si>
  <si>
    <t>4 stars</t>
  </si>
  <si>
    <t>OK</t>
  </si>
  <si>
    <t>AVG</t>
  </si>
  <si>
    <r>
      <rPr>
        <b/>
        <sz val="11"/>
        <color rgb="FF232323"/>
        <rFont val="Inter"/>
      </rPr>
      <t>Part of</t>
    </r>
    <r>
      <rPr>
        <sz val="11"/>
        <color rgb="FF232323"/>
        <rFont val="Inter"/>
      </rPr>
      <t> 3 </t>
    </r>
    <r>
      <rPr>
        <b/>
        <sz val="11"/>
        <color rgb="FF232323"/>
        <rFont val="Inter"/>
      </rPr>
      <t>Portfolio</t>
    </r>
  </si>
  <si>
    <t>5 Stars</t>
  </si>
  <si>
    <t>Part of 2 Portfolio</t>
  </si>
  <si>
    <t>Crompton Greaves Consumer Electricals</t>
  </si>
  <si>
    <r>
      <rPr>
        <b/>
        <sz val="11"/>
        <color rgb="FF232323"/>
        <rFont val="Inter"/>
      </rPr>
      <t>Part of</t>
    </r>
    <r>
      <rPr>
        <sz val="11"/>
        <color rgb="FF232323"/>
        <rFont val="Inter"/>
      </rPr>
      <t> 2 </t>
    </r>
    <r>
      <rPr>
        <b/>
        <sz val="11"/>
        <color rgb="FF232323"/>
        <rFont val="Inter"/>
      </rPr>
      <t>Portfolio</t>
    </r>
  </si>
  <si>
    <t>Colgate-Palmolive (India)</t>
  </si>
  <si>
    <t>Divi's Laboratories</t>
  </si>
  <si>
    <r>
      <rPr>
        <b/>
        <sz val="11"/>
        <color rgb="FF232323"/>
        <rFont val="Inter"/>
      </rPr>
      <t>Part of</t>
    </r>
    <r>
      <rPr>
        <sz val="11"/>
        <color rgb="FF232323"/>
        <rFont val="Inter"/>
      </rPr>
      <t> 1 </t>
    </r>
    <r>
      <rPr>
        <b/>
        <sz val="11"/>
        <color rgb="FF232323"/>
        <rFont val="Inter"/>
      </rPr>
      <t>Portfolio</t>
    </r>
  </si>
  <si>
    <t>Part of 1 Portfolio</t>
  </si>
  <si>
    <t>Emami</t>
  </si>
  <si>
    <t>Easy Trip Planners</t>
  </si>
  <si>
    <t>Equitas Small Finance Bank</t>
  </si>
  <si>
    <r>
      <t>Part of</t>
    </r>
    <r>
      <rPr>
        <sz val="11"/>
        <color rgb="FF232323"/>
        <rFont val="Inter"/>
        <charset val="1"/>
      </rPr>
      <t> 1 </t>
    </r>
    <r>
      <rPr>
        <b/>
        <sz val="11"/>
        <color rgb="FF232323"/>
        <rFont val="Inter"/>
        <charset val="1"/>
      </rPr>
      <t>Portfolio</t>
    </r>
  </si>
  <si>
    <r>
      <t>Part of</t>
    </r>
    <r>
      <rPr>
        <sz val="11"/>
        <color rgb="FF232323"/>
        <rFont val="Inter"/>
        <charset val="1"/>
      </rPr>
      <t> 2 </t>
    </r>
    <r>
      <rPr>
        <b/>
        <sz val="11"/>
        <color rgb="FF232323"/>
        <rFont val="Inter"/>
        <charset val="1"/>
      </rPr>
      <t>Portfolio</t>
    </r>
  </si>
  <si>
    <t>Gujarat State Petronet</t>
  </si>
  <si>
    <t>Galaxy Surfactants</t>
  </si>
  <si>
    <t>Part of 3 Portfolio</t>
  </si>
  <si>
    <t>Part of 5 Portfolio</t>
  </si>
  <si>
    <t>WINNER</t>
  </si>
  <si>
    <t>Indian Energy Exchange</t>
  </si>
  <si>
    <t>3 Stars</t>
  </si>
  <si>
    <t>ICICI Lombard General Insurance Company(Health and car / home Insurance)</t>
  </si>
  <si>
    <t>I can BUY</t>
  </si>
  <si>
    <t>ICICI Prudential Life Insurance Company(Term)</t>
  </si>
  <si>
    <t>BELOWAVG</t>
  </si>
  <si>
    <r>
      <t>Part of</t>
    </r>
    <r>
      <rPr>
        <sz val="11"/>
        <color rgb="FF232323"/>
        <rFont val="Inter"/>
        <charset val="1"/>
      </rPr>
      <t> 3 </t>
    </r>
    <r>
      <rPr>
        <b/>
        <sz val="11"/>
        <color rgb="FF232323"/>
        <rFont val="Inter"/>
        <charset val="1"/>
      </rPr>
      <t>Portfolio</t>
    </r>
  </si>
  <si>
    <t>Macrotech Developers -LODHA</t>
  </si>
  <si>
    <t>Mrs. Bectors Food Specialities</t>
  </si>
  <si>
    <t>Part of 3 Portfolio</t>
  </si>
  <si>
    <t>The stock is currently trading at PE of 73.8 which is on the higher side compared to industry peers. 3 Year median PE is 69.</t>
  </si>
  <si>
    <t>Praj Industries</t>
  </si>
  <si>
    <t>3 STars</t>
  </si>
  <si>
    <t>Route Mobile</t>
  </si>
  <si>
    <t>Rainbow Children's Medicare</t>
  </si>
  <si>
    <t>Part of 4 Portfolio</t>
  </si>
  <si>
    <t>3 stars</t>
  </si>
  <si>
    <t>Part of 6 Portfolio</t>
  </si>
  <si>
    <t>Tata Elxsi</t>
  </si>
  <si>
    <t>BUY PE 40</t>
  </si>
  <si>
    <t>The Phoenix Mills</t>
  </si>
  <si>
    <r>
      <rPr>
        <b/>
        <sz val="11"/>
        <color rgb="FF232323"/>
        <rFont val="Inter"/>
      </rPr>
      <t>Part of</t>
    </r>
    <r>
      <rPr>
        <sz val="11"/>
        <color rgb="FF232323"/>
        <rFont val="Inter"/>
      </rPr>
      <t xml:space="preserve"> 1 </t>
    </r>
    <r>
      <rPr>
        <b/>
        <sz val="11"/>
        <color rgb="FF232323"/>
        <rFont val="Inter"/>
      </rPr>
      <t>Portfolio</t>
    </r>
  </si>
  <si>
    <t>Vinati Organics</t>
  </si>
  <si>
    <t>PARAG PARIKH FLEXI CAP FUND</t>
  </si>
  <si>
    <t xml:space="preserve"> ADDED</t>
  </si>
  <si>
    <t xml:space="preserve">Maruti Suzuki India </t>
  </si>
  <si>
    <t>4STAR</t>
  </si>
  <si>
    <t>ADDED In JUNE</t>
  </si>
  <si>
    <t>Alphabet Inc A</t>
  </si>
  <si>
    <t>Facebook</t>
  </si>
  <si>
    <t>Amazon.com</t>
  </si>
  <si>
    <t>Microsoft Corp</t>
  </si>
  <si>
    <t>Motilal Oswal Financial Services</t>
  </si>
  <si>
    <t>Balkrishna Industries</t>
  </si>
  <si>
    <t>Indraprastha Gas</t>
  </si>
  <si>
    <t>Oracle Financial Services Software</t>
  </si>
  <si>
    <t>MarkCAP</t>
  </si>
  <si>
    <t>perc</t>
  </si>
  <si>
    <t>Financial</t>
  </si>
  <si>
    <t>Mid cap</t>
  </si>
  <si>
    <t>Healthcare</t>
  </si>
  <si>
    <t>Small cap</t>
  </si>
  <si>
    <t>Banking</t>
  </si>
  <si>
    <t>Real Estate</t>
  </si>
  <si>
    <t>IRB Infrastructure Developers</t>
  </si>
  <si>
    <t>Infrastructure</t>
  </si>
  <si>
    <t>Kaynes Technology India Ltd</t>
  </si>
  <si>
    <t>Electronics - Components</t>
  </si>
  <si>
    <t xml:space="preserve">MICRO -SME </t>
  </si>
  <si>
    <t>SKScripCode</t>
  </si>
  <si>
    <t>Stock Name</t>
  </si>
  <si>
    <t>Current Qty</t>
  </si>
  <si>
    <t>Investment Price</t>
  </si>
  <si>
    <t>Current Market Price</t>
  </si>
  <si>
    <t>Holding Value</t>
  </si>
  <si>
    <t>Market Value</t>
  </si>
  <si>
    <t>UnRealized Gain/Loss</t>
  </si>
  <si>
    <t>Percent UnRealized Gain/Loss</t>
  </si>
  <si>
    <t> </t>
  </si>
  <si>
    <t>POLYPLEX CORPORATION LTD.</t>
  </si>
  <si>
    <t>SUPREME POWER EQUIPMENT LTD</t>
  </si>
  <si>
    <t>RAJESH EXPORTS LTD</t>
  </si>
  <si>
    <t>SARTHAK METALS LIMITED</t>
  </si>
  <si>
    <t>SATTRIX INFORMATION SECURITY L</t>
  </si>
  <si>
    <t>ATAM VALVES LIMITED</t>
  </si>
  <si>
    <t>STERLING AND WILSON RENEWABLE</t>
  </si>
  <si>
    <t>KRISHCA STRAPPING SLTN LTD</t>
  </si>
  <si>
    <t>PRAVEG LIMITED</t>
  </si>
  <si>
    <t>GOODLUCK INDIA LIMITED</t>
  </si>
  <si>
    <t>SHIVALIK BIMETAL CONTROLS LTD</t>
  </si>
  <si>
    <t>GARWARE HI-TECH FILMS LIMITED</t>
  </si>
  <si>
    <t>INDIGO PAINTS LIMITED</t>
  </si>
  <si>
    <t>ETHOS LIMITED</t>
  </si>
  <si>
    <t>VA TECH WABAG LIMITED</t>
  </si>
  <si>
    <t>DR. REDDY LAB. LTD.</t>
  </si>
  <si>
    <t>GODAWARI POWER &amp; ISPAT LIMITED</t>
  </si>
  <si>
    <t>TINNA RUBBER &amp; INFRA LTD</t>
  </si>
  <si>
    <t>INDO TECH TRANSFORMERS LTD.</t>
  </si>
  <si>
    <t>TATA ELXSI (INDIA) LTD.</t>
  </si>
  <si>
    <t>LARSEN &amp; TOUBRO LTD.</t>
  </si>
  <si>
    <t>KANSAI NEROLAC PAINTS LIMITED</t>
  </si>
  <si>
    <t>TIPS INDUSTRIES LTD</t>
  </si>
  <si>
    <t>PYRAMID TECHNOPLAST LIMITED</t>
  </si>
  <si>
    <t>JAI BALAJI INDUSTRIES LIMITED</t>
  </si>
  <si>
    <t>SOFTTECH ENGINEERS LIMITED</t>
  </si>
  <si>
    <t>RAMCO INDUSTRIES LIMITED</t>
  </si>
  <si>
    <t>PAUSHAK LTD</t>
  </si>
  <si>
    <t>JK AGRI GENETICS LTD</t>
  </si>
  <si>
    <t>STYLAM INDUSTRIES LTD</t>
  </si>
  <si>
    <t>PARAMOUNT COMMUNICAT</t>
  </si>
  <si>
    <t>L&amp;T FINANCE LIMITED</t>
  </si>
  <si>
    <t>SWELECT ENERGY SYSTEMS LTD</t>
  </si>
  <si>
    <t>SESHASAYEE PAPER &amp; BOARDS</t>
  </si>
  <si>
    <t>ADOR WELDING LTD.</t>
  </si>
  <si>
    <t>ICE MAKE REFRIGERATION LIMITED</t>
  </si>
  <si>
    <t>WAAREE RENEWABLE TECHNOLOGIES</t>
  </si>
  <si>
    <t>BHANSALI ENGG. POLYMERS LTD.</t>
  </si>
  <si>
    <t>NHPC LIMITED</t>
  </si>
  <si>
    <t>KOTAK MAH.BANK LTD</t>
  </si>
  <si>
    <t>PUNJAB CHEM &amp; CROP PROTECTION</t>
  </si>
  <si>
    <t>PVR INOX LIMITED</t>
  </si>
  <si>
    <t>APEX FROZEN FOOD LIMITED</t>
  </si>
  <si>
    <t>NATCO PHARMA LTD.</t>
  </si>
  <si>
    <t>AMARA RAJA ENERGY &amp; MOBILITY L</t>
  </si>
  <si>
    <t>SHALIBHADRA FIN.LTD.</t>
  </si>
  <si>
    <t>WEST COAST PAPER MILLS LTD.</t>
  </si>
  <si>
    <t>SHREEJI TRANSLOGISTICS LIMITED</t>
  </si>
  <si>
    <t>MAN INFRACONSTRUCTION LTD</t>
  </si>
  <si>
    <t>ANTONY WASTE HANDLING CELL LIM</t>
  </si>
  <si>
    <t>Column1</t>
  </si>
  <si>
    <t>Five-Star Business Finance Ltd</t>
  </si>
  <si>
    <t>Muthoot Finance Ltd</t>
  </si>
  <si>
    <t>Poonawalla Fincorp Ltd</t>
  </si>
  <si>
    <t>L&amp;T Finance Ltd</t>
  </si>
  <si>
    <t>Current Price</t>
  </si>
  <si>
    <t>High / Low</t>
  </si>
  <si>
    <t>₹ 877 / 600</t>
  </si>
  <si>
    <t>₹ 281 / 196</t>
  </si>
  <si>
    <t>₹ 1,886 / 1,170</t>
  </si>
  <si>
    <t>₹ 520 / 336</t>
  </si>
  <si>
    <t>₹ 656 / 200</t>
  </si>
  <si>
    <t>₹ 194 / 116</t>
  </si>
  <si>
    <t>Stock P/E</t>
  </si>
  <si>
    <t>Book Value</t>
  </si>
  <si>
    <t>Dividend Yield</t>
  </si>
  <si>
    <t>ROCE</t>
  </si>
  <si>
    <t>ROE</t>
  </si>
  <si>
    <t>Face Value</t>
  </si>
  <si>
    <t>Industry PE</t>
  </si>
  <si>
    <t>Return on capital employed preceding year</t>
  </si>
  <si>
    <t>Return on equity preceding year</t>
  </si>
  <si>
    <t>Debt to equity</t>
  </si>
  <si>
    <t>Debt</t>
  </si>
  <si>
    <t>EPS</t>
  </si>
  <si>
    <t>EPS preceding year</t>
  </si>
  <si>
    <t>Sales</t>
  </si>
  <si>
    <t>Net profit</t>
  </si>
  <si>
    <t>OPM</t>
  </si>
  <si>
    <t>Sales growth</t>
  </si>
  <si>
    <t>Price to Free Cash Flow</t>
  </si>
  <si>
    <t>Free cash flow last year</t>
  </si>
  <si>
    <t>Free cash flow preceding year</t>
  </si>
  <si>
    <t>Equity capital</t>
  </si>
  <si>
    <t>Reserves</t>
  </si>
  <si>
    <t>Net cash flow last year</t>
  </si>
  <si>
    <t>Net cash flow preceding year</t>
  </si>
  <si>
    <t>Profit growth</t>
  </si>
  <si>
    <t>Cash Equivalents</t>
  </si>
  <si>
    <t>Cash from operations preceding year</t>
  </si>
  <si>
    <t>Cash from operations last year</t>
  </si>
  <si>
    <t>PEG Ratio</t>
  </si>
  <si>
    <t>Price to book value</t>
  </si>
  <si>
    <t>Price to Sales</t>
  </si>
  <si>
    <t>Price to Cash Flow</t>
  </si>
  <si>
    <t>Book value</t>
  </si>
  <si>
    <t>Volume</t>
  </si>
  <si>
    <t>Volume 1week average</t>
  </si>
  <si>
    <t>Volume 1month average</t>
  </si>
  <si>
    <t>DII holding</t>
  </si>
  <si>
    <t>Promoter holding</t>
  </si>
  <si>
    <t>Change in DII holding</t>
  </si>
  <si>
    <t>Expected quarterly sales growth</t>
  </si>
  <si>
    <t>Expected quarterly sales</t>
  </si>
  <si>
    <t>Expected quarterly operating profit</t>
  </si>
  <si>
    <t>Expected quarterly net profit</t>
  </si>
  <si>
    <t>Expected quarterly EPS</t>
  </si>
  <si>
    <t>Sales preceding year</t>
  </si>
  <si>
    <t>Sales preceding 12months</t>
  </si>
  <si>
    <t>Capital work in progress</t>
  </si>
  <si>
    <t>Net block</t>
  </si>
  <si>
    <t>ETF</t>
  </si>
  <si>
    <t>Column2</t>
  </si>
  <si>
    <t>Nippon India ETF Nifty 5 yr Benchmark G-Sec --INF204KC1030  GILT5YBEES</t>
  </si>
  <si>
    <t>ICICI Prudential Nifty50 Value 20 ETF (NV20IETF)</t>
  </si>
  <si>
    <t>Motilal Oswal Nifty 200 Momentum 30 ETF (MOMOMENTUM)</t>
  </si>
  <si>
    <t>Flexicap</t>
  </si>
  <si>
    <t>Motilal Oswal Nasdaq 100 ETF (MON100)</t>
  </si>
  <si>
    <t>International</t>
  </si>
  <si>
    <t>DSP Nifty Midcap 150 Quality 50 ETF</t>
  </si>
  <si>
    <t>Nippon India Nifty 50 Value 20 Index Fund(G)-Direct Plan</t>
  </si>
  <si>
    <t>SBI Focused Equity Fund(G)-Direct Plan</t>
  </si>
  <si>
    <t>Focused</t>
  </si>
  <si>
    <t>Kotak Emerging Equity Fund(G)-Direct Plan</t>
  </si>
  <si>
    <t>DSP Small Cap Fund(G)-Direct Plan</t>
  </si>
  <si>
    <t>SBI Gold(G)-Direct Plan</t>
  </si>
  <si>
    <t>Gold</t>
  </si>
  <si>
    <t>ITBEES -ETF</t>
  </si>
  <si>
    <t>Motilal Oswal Nifty Microcap 250 Index Fund(G)-Direct Plan</t>
  </si>
  <si>
    <t>MIDCAPETF</t>
  </si>
  <si>
    <t>midcap150</t>
  </si>
  <si>
    <t>ICICI Pru NASDAQ 100 Index Fund(G)-Direct Plan</t>
  </si>
  <si>
    <t>MID150BEES</t>
  </si>
  <si>
    <t>Mirae Asset Tax Saver Fund(G)-Direct Plan</t>
  </si>
  <si>
    <t>ELSS</t>
  </si>
  <si>
    <t>HDFCSML250</t>
  </si>
  <si>
    <t>Smallcap250TRI</t>
  </si>
  <si>
    <t>niftybees</t>
  </si>
  <si>
    <t>CPSEETF</t>
  </si>
  <si>
    <t>GILT5YBEES</t>
  </si>
  <si>
    <t>NV20IETF</t>
  </si>
  <si>
    <t>MOMOMENTUM</t>
  </si>
  <si>
    <t>® Kalyan Jewellers India : 9%</t>
  </si>
  <si>
    <t>- Ambuja Cements : 8.9%</t>
  </si>
  <si>
    <t>® Varun Beverages : 8%</t>
  </si>
  <si>
    <t>•L&amp;T Finance : 6%</t>
  </si>
  <si>
    <t>© IRB Infrastructure Developers : 6.7%</t>
  </si>
  <si>
    <t>•REC: 6.6%</t>
  </si>
  <si>
    <t>Parag Parikh Flexi Cap Fund(G)-Direct Plan (MF) : 11.375%</t>
  </si>
  <si>
    <t>DSP Small Cap Fund(G)-Direct Plan (MF) : 6.125%</t>
  </si>
  <si>
    <t>© Pl Industries : 5%</t>
  </si>
  <si>
    <t>© Mirae Asset Tax Saver Fund(G)-Direct Plan (MF) : 0%</t>
  </si>
  <si>
    <t>ICICI Pru Corp Bond Fund(G)-Direct Plan (MF) : 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</si>
</sst>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_);[Red]\(&quot;$&quot;#,##0\)"/>
    <numFmt numFmtId="164" formatCode="&quot;$&quot;#,##0"/>
  </numFmts>
  <fonts count="147">
    <font>
      <sz val="11"/>
      <color theme="1"/>
      <name val="Calibri"/>
      <family val="2"/>
      <scheme val="minor"/>
    </font>
    <font>
      <b/>
      <sz val="11"/>
      <color theme="1"/>
      <name val="Calibri"/>
      <family val="2"/>
      <scheme val="minor"/>
    </font>
    <font>
      <i/>
      <sz val="11"/>
      <color theme="1"/>
      <name val="Calibri"/>
      <family val="2"/>
      <scheme val="minor"/>
    </font>
    <font>
      <b/>
      <i/>
      <sz val="11"/>
      <color theme="1"/>
      <name val="Calibri Light"/>
      <family val="2"/>
      <scheme val="major"/>
    </font>
    <font>
      <b/>
      <sz val="11"/>
      <color rgb="FFFF0000"/>
      <name val="Calibri"/>
      <family val="2"/>
      <scheme val="minor"/>
    </font>
    <font>
      <b/>
      <sz val="11"/>
      <color theme="9" tint="-0.249977111117893"/>
      <name val="Calibri"/>
      <family val="2"/>
      <scheme val="minor"/>
    </font>
    <font>
      <b/>
      <sz val="11"/>
      <color rgb="FF00B050"/>
      <name val="Calibri"/>
      <family val="2"/>
      <scheme val="minor"/>
    </font>
    <font>
      <b/>
      <sz val="10"/>
      <color indexed="8"/>
      <name val="Arial"/>
      <family val="2"/>
    </font>
    <font>
      <b/>
      <sz val="11"/>
      <color theme="1"/>
      <name val="Arial"/>
      <family val="2"/>
    </font>
    <font>
      <sz val="11"/>
      <color theme="1"/>
      <name val="Arial"/>
      <family val="2"/>
    </font>
    <font>
      <sz val="10"/>
      <color theme="1"/>
      <name val="Arial"/>
      <family val="2"/>
    </font>
    <font>
      <b/>
      <sz val="10"/>
      <color theme="1"/>
      <name val="Arial"/>
      <family val="2"/>
    </font>
    <font>
      <b/>
      <sz val="11"/>
      <color rgb="FFFF0000"/>
      <name val="Arial"/>
      <family val="2"/>
    </font>
    <font>
      <sz val="11"/>
      <color rgb="FFFF0000"/>
      <name val="Arial"/>
      <family val="2"/>
    </font>
    <font>
      <b/>
      <sz val="10"/>
      <color rgb="FFFF0000"/>
      <name val="Arial"/>
      <family val="2"/>
    </font>
    <font>
      <b/>
      <sz val="9"/>
      <color rgb="FF111111"/>
      <name val="Arial"/>
      <family val="2"/>
    </font>
    <font>
      <sz val="11"/>
      <color rgb="FF232323"/>
      <name val="Inter"/>
      <charset val="1"/>
    </font>
    <font>
      <b/>
      <sz val="11"/>
      <color rgb="FF232323"/>
      <name val="Inter"/>
      <charset val="1"/>
    </font>
    <font>
      <b/>
      <sz val="11"/>
      <color rgb="FF232323"/>
      <name val="Inter"/>
    </font>
    <font>
      <sz val="11"/>
      <color rgb="FF232323"/>
      <name val="Inter"/>
    </font>
    <font>
      <b/>
      <sz val="10"/>
      <color rgb="FF002060"/>
      <name val="Arial"/>
      <family val="2"/>
    </font>
    <font>
      <b/>
      <sz val="11"/>
      <color rgb="FF002060"/>
      <name val="Arial"/>
      <family val="2"/>
    </font>
    <font>
      <b/>
      <sz val="11"/>
      <color rgb="FF002060"/>
      <name val="Inter"/>
    </font>
    <font>
      <b/>
      <sz val="11"/>
      <color rgb="FF002060"/>
      <name val="Calibri"/>
      <family val="2"/>
      <scheme val="minor"/>
    </font>
    <font>
      <sz val="12"/>
      <color rgb="FF20385E"/>
      <name val="-Apple-System"/>
      <charset val="1"/>
    </font>
    <font>
      <b/>
      <sz val="11"/>
      <color rgb="FF000000"/>
      <name val="Calibri"/>
      <family val="2"/>
      <scheme val="minor"/>
    </font>
    <font>
      <b/>
      <sz val="11"/>
      <color rgb="FFC00000"/>
      <name val="Calibri"/>
      <family val="2"/>
      <scheme val="minor"/>
    </font>
    <font>
      <sz val="11"/>
      <color rgb="FF696A6D"/>
      <name val="Roboto"/>
    </font>
    <font>
      <sz val="11"/>
      <color theme="1"/>
      <name val="Roboto"/>
    </font>
    <font>
      <sz val="11"/>
      <color rgb="FFFF0000"/>
      <name val="Calibri"/>
      <family val="2"/>
      <scheme val="minor"/>
    </font>
    <font>
      <b/>
      <sz val="11"/>
      <color rgb="FF000000"/>
      <name val="Calibri"/>
      <family val="2"/>
    </font>
    <font>
      <b/>
      <sz val="11"/>
      <color rgb="FF00B0F0"/>
      <name val="Arial"/>
      <family val="2"/>
    </font>
    <font>
      <b/>
      <sz val="11"/>
      <color rgb="FF00B0F0"/>
      <name val="Calibri"/>
      <family val="2"/>
      <scheme val="minor"/>
    </font>
    <font>
      <b/>
      <sz val="11"/>
      <color rgb="FF000000"/>
      <name val="Arial"/>
      <family val="2"/>
    </font>
    <font>
      <b/>
      <u/>
      <sz val="11"/>
      <color rgb="FF000000"/>
      <name val="Arial"/>
      <family val="2"/>
    </font>
    <font>
      <sz val="11"/>
      <color rgb="FF000000"/>
      <name val="Arial"/>
      <family val="2"/>
    </font>
    <font>
      <sz val="11"/>
      <color rgb="FF616161"/>
      <name val="Inter"/>
      <charset val="1"/>
    </font>
    <font>
      <sz val="11"/>
      <color rgb="FF22222F"/>
      <name val="Inter Var"/>
      <charset val="1"/>
    </font>
    <font>
      <sz val="11"/>
      <color rgb="FFFF0000"/>
      <name val="Inter Var"/>
      <charset val="1"/>
    </font>
    <font>
      <b/>
      <sz val="11"/>
      <color rgb="FF22222F"/>
      <name val="Inter Var"/>
      <charset val="1"/>
    </font>
    <font>
      <b/>
      <sz val="11"/>
      <color rgb="FFFF0000"/>
      <name val="Inter Var"/>
      <charset val="1"/>
    </font>
    <font>
      <sz val="11"/>
      <color rgb="FF000000"/>
      <name val="Calibri"/>
      <family val="2"/>
    </font>
    <font>
      <sz val="11"/>
      <color rgb="FFFF0000"/>
      <name val="Calibri"/>
      <family val="2"/>
    </font>
    <font>
      <b/>
      <sz val="11"/>
      <color rgb="FFFF0000"/>
      <name val="Calibri"/>
      <family val="2"/>
    </font>
    <font>
      <sz val="10"/>
      <color rgb="FF22222F"/>
      <name val="Arial"/>
      <family val="2"/>
    </font>
    <font>
      <sz val="16"/>
      <color theme="1"/>
      <name val="Calibri"/>
      <family val="2"/>
      <scheme val="minor"/>
    </font>
    <font>
      <b/>
      <sz val="14"/>
      <color rgb="FFFF0000"/>
      <name val="Calibri"/>
      <family val="2"/>
      <scheme val="minor"/>
    </font>
    <font>
      <b/>
      <sz val="10"/>
      <color rgb="FF474747"/>
      <name val="Roboto"/>
    </font>
    <font>
      <b/>
      <sz val="10"/>
      <color rgb="FF7030A0"/>
      <name val="Arial"/>
      <family val="2"/>
    </font>
    <font>
      <b/>
      <sz val="8"/>
      <color rgb="FF7030A0"/>
      <name val="Arial"/>
      <family val="2"/>
    </font>
    <font>
      <sz val="9"/>
      <color theme="1"/>
      <name val="Arial"/>
      <family val="2"/>
    </font>
    <font>
      <b/>
      <sz val="11"/>
      <color rgb="FF7030A0"/>
      <name val="Calibri"/>
      <family val="2"/>
      <scheme val="minor"/>
    </font>
    <font>
      <b/>
      <sz val="11"/>
      <color rgb="FF7030A0"/>
      <name val="Arial"/>
      <family val="2"/>
    </font>
    <font>
      <b/>
      <sz val="11"/>
      <color rgb="FF0070C0"/>
      <name val="Calibri"/>
      <family val="2"/>
      <scheme val="minor"/>
    </font>
    <font>
      <sz val="11"/>
      <color rgb="FF7030A0"/>
      <name val="Calibri"/>
      <family val="2"/>
      <scheme val="minor"/>
    </font>
    <font>
      <sz val="24"/>
      <color rgb="FF22222F"/>
      <name val="Arial"/>
      <family val="2"/>
    </font>
    <font>
      <b/>
      <sz val="11"/>
      <color rgb="FFC00000"/>
      <name val="Arial"/>
      <family val="2"/>
    </font>
    <font>
      <sz val="11"/>
      <color rgb="FFC00000"/>
      <name val="Arial"/>
      <family val="2"/>
    </font>
    <font>
      <b/>
      <sz val="12"/>
      <color rgb="FF20385E"/>
      <name val="-Apple-System"/>
      <charset val="1"/>
    </font>
    <font>
      <b/>
      <sz val="11"/>
      <color theme="9" tint="-0.499984740745262"/>
      <name val="Arial"/>
      <family val="2"/>
    </font>
    <font>
      <b/>
      <sz val="10"/>
      <color theme="9" tint="-0.499984740745262"/>
      <name val="Arial"/>
      <family val="2"/>
    </font>
    <font>
      <sz val="11"/>
      <color theme="9" tint="-0.499984740745262"/>
      <name val="Calibri"/>
      <family val="2"/>
      <scheme val="minor"/>
    </font>
    <font>
      <b/>
      <sz val="12"/>
      <color rgb="FFC00000"/>
      <name val="Arial"/>
      <family val="2"/>
    </font>
    <font>
      <b/>
      <u/>
      <sz val="11"/>
      <color rgb="FF7030A0"/>
      <name val="Arial"/>
      <family val="2"/>
    </font>
    <font>
      <b/>
      <u/>
      <sz val="11"/>
      <color theme="1"/>
      <name val="Arial"/>
      <family val="2"/>
    </font>
    <font>
      <b/>
      <u/>
      <sz val="11"/>
      <color rgb="FFFF0000"/>
      <name val="Calibri"/>
      <family val="2"/>
      <scheme val="minor"/>
    </font>
    <font>
      <b/>
      <u/>
      <sz val="12"/>
      <color rgb="FFFF0000"/>
      <name val="Calibri"/>
      <family val="2"/>
      <scheme val="minor"/>
    </font>
    <font>
      <b/>
      <u/>
      <sz val="14"/>
      <color rgb="FFFF0000"/>
      <name val="Calibri"/>
      <family val="2"/>
      <scheme val="minor"/>
    </font>
    <font>
      <b/>
      <sz val="12"/>
      <color theme="1"/>
      <name val="Calibri"/>
      <family val="2"/>
      <scheme val="minor"/>
    </font>
    <font>
      <b/>
      <sz val="12"/>
      <color rgb="FF7030A0"/>
      <name val="Calibri"/>
      <family val="2"/>
      <scheme val="minor"/>
    </font>
    <font>
      <b/>
      <u/>
      <sz val="11"/>
      <color rgb="FF7030A0"/>
      <name val="Calibri"/>
      <family val="2"/>
      <scheme val="minor"/>
    </font>
    <font>
      <b/>
      <u/>
      <sz val="14"/>
      <color rgb="FF002060"/>
      <name val="Calibri"/>
      <family val="2"/>
      <scheme val="minor"/>
    </font>
    <font>
      <b/>
      <sz val="12"/>
      <color theme="1"/>
      <name val="Arial"/>
      <family val="2"/>
    </font>
    <font>
      <sz val="12"/>
      <color theme="1"/>
      <name val="Arial"/>
      <family val="2"/>
    </font>
    <font>
      <b/>
      <sz val="11"/>
      <color rgb="FFFFFF00"/>
      <name val="Arial"/>
      <family val="2"/>
    </font>
    <font>
      <sz val="11"/>
      <color rgb="FFFFFF00"/>
      <name val="Arial"/>
      <family val="2"/>
    </font>
    <font>
      <b/>
      <sz val="11"/>
      <color rgb="FF7030A0"/>
      <name val="Calibri"/>
      <family val="2"/>
    </font>
    <font>
      <b/>
      <u/>
      <sz val="11"/>
      <color rgb="FF0070C0"/>
      <name val="Arial"/>
      <family val="2"/>
    </font>
    <font>
      <b/>
      <sz val="11"/>
      <color theme="1"/>
      <name val="Calibri"/>
      <family val="2"/>
    </font>
    <font>
      <b/>
      <sz val="9"/>
      <color theme="1"/>
      <name val="Arial"/>
      <family val="2"/>
    </font>
    <font>
      <b/>
      <sz val="10"/>
      <color rgb="FF22222F"/>
      <name val="Arial"/>
      <family val="2"/>
    </font>
    <font>
      <b/>
      <sz val="14"/>
      <color rgb="FFC00000"/>
      <name val="Arial"/>
      <family val="2"/>
    </font>
    <font>
      <b/>
      <sz val="11"/>
      <color rgb="FF0070C0"/>
      <name val="Arial"/>
      <family val="2"/>
    </font>
    <font>
      <b/>
      <sz val="10"/>
      <color rgb="FFC00000"/>
      <name val="Arial"/>
      <family val="2"/>
    </font>
    <font>
      <sz val="11"/>
      <color rgb="FFC00000"/>
      <name val="Calibri"/>
      <family val="2"/>
      <scheme val="minor"/>
    </font>
    <font>
      <b/>
      <sz val="10"/>
      <color rgb="FF00B050"/>
      <name val="Arial"/>
      <family val="2"/>
    </font>
    <font>
      <sz val="10"/>
      <color rgb="FF666666"/>
      <name val="Arial"/>
      <family val="2"/>
    </font>
    <font>
      <sz val="10"/>
      <name val="Arial"/>
      <family val="2"/>
    </font>
    <font>
      <sz val="8"/>
      <name val="Arial"/>
      <family val="2"/>
    </font>
    <font>
      <b/>
      <sz val="10"/>
      <name val="Arial"/>
      <family val="2"/>
    </font>
    <font>
      <sz val="8"/>
      <color rgb="FF7030A0"/>
      <name val="Arial"/>
      <family val="2"/>
    </font>
    <font>
      <b/>
      <sz val="14"/>
      <color rgb="FF002060"/>
      <name val="Calibri"/>
      <family val="2"/>
      <scheme val="minor"/>
    </font>
    <font>
      <sz val="11"/>
      <color rgb="FF002060"/>
      <name val="Calibri"/>
      <family val="2"/>
      <scheme val="minor"/>
    </font>
    <font>
      <sz val="10"/>
      <color rgb="FFC00000"/>
      <name val="Arial"/>
      <family val="2"/>
    </font>
    <font>
      <b/>
      <sz val="12"/>
      <color rgb="FFFF0000"/>
      <name val="Arial"/>
      <family val="2"/>
    </font>
    <font>
      <u/>
      <sz val="11"/>
      <color theme="1"/>
      <name val="Arial"/>
      <family val="2"/>
    </font>
    <font>
      <b/>
      <sz val="10"/>
      <color theme="1"/>
      <name val="Calibri"/>
      <family val="2"/>
      <scheme val="minor"/>
    </font>
    <font>
      <b/>
      <sz val="10"/>
      <color rgb="FFFF0000"/>
      <name val="Calibri"/>
      <family val="2"/>
      <scheme val="minor"/>
    </font>
    <font>
      <b/>
      <sz val="10"/>
      <color rgb="FF7030A0"/>
      <name val="Calibri"/>
      <family val="2"/>
      <scheme val="minor"/>
    </font>
    <font>
      <b/>
      <sz val="10"/>
      <color rgb="FFFFFF00"/>
      <name val="Calibri"/>
      <family val="2"/>
      <scheme val="minor"/>
    </font>
    <font>
      <b/>
      <sz val="10"/>
      <color rgb="FF22222F"/>
      <name val="Calibri"/>
      <family val="2"/>
      <scheme val="minor"/>
    </font>
    <font>
      <b/>
      <sz val="9"/>
      <color rgb="FFFF0000"/>
      <name val="Arial"/>
      <family val="2"/>
    </font>
    <font>
      <b/>
      <sz val="10"/>
      <color rgb="FF20385E"/>
      <name val="Calibri"/>
      <family val="2"/>
      <scheme val="minor"/>
    </font>
    <font>
      <b/>
      <sz val="11"/>
      <color rgb="FF20385E"/>
      <name val="Calibri"/>
      <family val="2"/>
      <scheme val="minor"/>
    </font>
    <font>
      <b/>
      <sz val="12"/>
      <color rgb="FFFF0000"/>
      <name val="Calibri"/>
      <family val="2"/>
      <scheme val="minor"/>
    </font>
    <font>
      <b/>
      <sz val="16"/>
      <color rgb="FFFF0000"/>
      <name val="Calibri"/>
      <family val="2"/>
      <scheme val="minor"/>
    </font>
    <font>
      <sz val="12"/>
      <color rgb="FFFF0000"/>
      <name val="Calibri"/>
      <family val="2"/>
      <scheme val="minor"/>
    </font>
    <font>
      <sz val="7"/>
      <color rgb="FF222222"/>
      <name val="Inter"/>
    </font>
    <font>
      <b/>
      <sz val="10"/>
      <color rgb="FFC00000"/>
      <name val="Calibri"/>
      <family val="2"/>
      <scheme val="minor"/>
    </font>
    <font>
      <b/>
      <sz val="14"/>
      <color rgb="FF7030A0"/>
      <name val="Calibri"/>
      <family val="2"/>
      <scheme val="minor"/>
    </font>
    <font>
      <b/>
      <u/>
      <sz val="14"/>
      <color rgb="FF7030A0"/>
      <name val="Calibri"/>
      <family val="2"/>
      <scheme val="minor"/>
    </font>
    <font>
      <b/>
      <u/>
      <sz val="18"/>
      <color rgb="FF7030A0"/>
      <name val="Calibri"/>
      <family val="2"/>
      <scheme val="minor"/>
    </font>
    <font>
      <b/>
      <sz val="14"/>
      <color theme="1"/>
      <name val="Arial"/>
      <family val="2"/>
    </font>
    <font>
      <b/>
      <u/>
      <sz val="11"/>
      <color rgb="FFFF0000"/>
      <name val="Arial"/>
      <family val="2"/>
    </font>
    <font>
      <u/>
      <sz val="11"/>
      <color theme="10"/>
      <name val="Calibri"/>
      <family val="2"/>
      <scheme val="minor"/>
    </font>
    <font>
      <sz val="8"/>
      <color rgb="FF222222"/>
      <name val="Inter"/>
    </font>
    <font>
      <b/>
      <sz val="8"/>
      <color rgb="FF222222"/>
      <name val="Inter"/>
    </font>
    <font>
      <b/>
      <sz val="8"/>
      <color rgb="FFFF0000"/>
      <name val="Inter"/>
    </font>
    <font>
      <sz val="14"/>
      <color theme="1"/>
      <name val="Calibri"/>
      <family val="2"/>
      <scheme val="minor"/>
    </font>
    <font>
      <sz val="9"/>
      <color rgb="FFFFFFFF"/>
      <name val="Inter"/>
    </font>
    <font>
      <sz val="9"/>
      <color rgb="FF03A9F4"/>
      <name val="Inter"/>
    </font>
    <font>
      <sz val="9"/>
      <color rgb="FF696A6D"/>
      <name val="Inter"/>
    </font>
    <font>
      <b/>
      <sz val="9"/>
      <color rgb="FF03A9F4"/>
      <name val="Inter"/>
    </font>
    <font>
      <b/>
      <sz val="9"/>
      <color rgb="FF696A6D"/>
      <name val="Inter"/>
    </font>
    <font>
      <sz val="12"/>
      <color theme="1"/>
      <name val="-Apple-System"/>
      <charset val="1"/>
    </font>
    <font>
      <b/>
      <sz val="12"/>
      <color rgb="FFFF0000"/>
      <name val="-Apple-System"/>
    </font>
    <font>
      <b/>
      <sz val="12"/>
      <color theme="1"/>
      <name val="-Apple-System"/>
    </font>
    <font>
      <b/>
      <sz val="12"/>
      <color rgb="FF7030A0"/>
      <name val="-Apple-System"/>
    </font>
    <font>
      <b/>
      <sz val="12"/>
      <color rgb="FF7030A0"/>
      <name val="Arial"/>
      <family val="2"/>
    </font>
    <font>
      <sz val="8"/>
      <color rgb="FF222222"/>
      <name val="Arial"/>
      <family val="2"/>
    </font>
    <font>
      <b/>
      <sz val="9"/>
      <color rgb="FF222222"/>
      <name val="Arial"/>
      <family val="2"/>
    </font>
    <font>
      <b/>
      <sz val="8"/>
      <color rgb="FF222222"/>
      <name val="Arial"/>
      <family val="2"/>
    </font>
    <font>
      <b/>
      <sz val="8"/>
      <color rgb="FFC00000"/>
      <name val="Inter"/>
    </font>
    <font>
      <b/>
      <sz val="8"/>
      <color rgb="FF7030A0"/>
      <name val="Inter"/>
    </font>
    <font>
      <sz val="11"/>
      <color rgb="FF000000"/>
      <name val="Calibri"/>
      <scheme val="minor"/>
    </font>
    <font>
      <sz val="11"/>
      <name val="Calibri"/>
      <family val="2"/>
      <scheme val="minor"/>
    </font>
    <font>
      <sz val="11"/>
      <color rgb="FF000000"/>
      <name val="Calibri"/>
      <family val="2"/>
      <scheme val="minor"/>
    </font>
    <font>
      <b/>
      <i/>
      <sz val="11"/>
      <color theme="1"/>
      <name val="Calibri"/>
      <family val="2"/>
      <scheme val="minor"/>
    </font>
    <font>
      <b/>
      <sz val="14"/>
      <color theme="1"/>
      <name val="Calibri"/>
      <family val="2"/>
      <scheme val="minor"/>
    </font>
    <font>
      <b/>
      <sz val="12"/>
      <color rgb="FFC00000"/>
      <name val="Calibri"/>
      <family val="2"/>
      <scheme val="minor"/>
    </font>
    <font>
      <b/>
      <sz val="16"/>
      <color rgb="FF00B050"/>
      <name val="Calibri"/>
      <family val="2"/>
      <scheme val="minor"/>
    </font>
    <font>
      <sz val="11"/>
      <color theme="1"/>
      <name val="Calibri"/>
      <family val="2"/>
    </font>
    <font>
      <b/>
      <sz val="8"/>
      <color theme="1"/>
      <name val="Inter"/>
    </font>
    <font>
      <b/>
      <u/>
      <sz val="11"/>
      <color rgb="FF002060"/>
      <name val="Calibri"/>
      <family val="2"/>
      <scheme val="minor"/>
    </font>
    <font>
      <b/>
      <sz val="11"/>
      <color theme="9" tint="-0.499984740745262"/>
      <name val="Calibri"/>
      <family val="2"/>
      <scheme val="minor"/>
    </font>
    <font>
      <b/>
      <sz val="7"/>
      <color rgb="FF179600"/>
      <name val="MyFirstFont"/>
    </font>
    <font>
      <sz val="11"/>
      <color rgb="FFFFFFFF"/>
      <name val="Calibri"/>
      <family val="2"/>
      <scheme val="minor"/>
    </font>
  </fonts>
  <fills count="42">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rgb="FF92D050"/>
        <bgColor indexed="64"/>
      </patternFill>
    </fill>
    <fill>
      <patternFill patternType="solid">
        <fgColor theme="7" tint="0.39997558519241921"/>
        <bgColor indexed="64"/>
      </patternFill>
    </fill>
    <fill>
      <patternFill patternType="solid">
        <fgColor rgb="FFFFC000"/>
        <bgColor indexed="64"/>
      </patternFill>
    </fill>
    <fill>
      <patternFill patternType="solid">
        <fgColor rgb="FFFFFFFF"/>
        <bgColor indexed="64"/>
      </patternFill>
    </fill>
    <fill>
      <patternFill patternType="solid">
        <fgColor rgb="FF00B0F0"/>
        <bgColor indexed="64"/>
      </patternFill>
    </fill>
    <fill>
      <patternFill patternType="solid">
        <fgColor rgb="FF00B050"/>
        <bgColor indexed="64"/>
      </patternFill>
    </fill>
    <fill>
      <patternFill patternType="solid">
        <fgColor rgb="FFF6F9FC"/>
        <bgColor indexed="64"/>
      </patternFill>
    </fill>
    <fill>
      <patternFill patternType="solid">
        <fgColor theme="4"/>
        <bgColor indexed="64"/>
      </patternFill>
    </fill>
    <fill>
      <patternFill patternType="solid">
        <fgColor theme="6" tint="0.39997558519241921"/>
        <bgColor indexed="64"/>
      </patternFill>
    </fill>
    <fill>
      <patternFill patternType="solid">
        <fgColor rgb="FF00B0F0"/>
        <bgColor rgb="FF000000"/>
      </patternFill>
    </fill>
    <fill>
      <patternFill patternType="solid">
        <fgColor rgb="FFFFFF00"/>
        <bgColor rgb="FF000000"/>
      </patternFill>
    </fill>
    <fill>
      <patternFill patternType="solid">
        <fgColor rgb="FF00B050"/>
        <bgColor rgb="FF000000"/>
      </patternFill>
    </fill>
    <fill>
      <patternFill patternType="solid">
        <fgColor theme="5" tint="0.59999389629810485"/>
        <bgColor indexed="64"/>
      </patternFill>
    </fill>
    <fill>
      <patternFill patternType="solid">
        <fgColor theme="3" tint="0.79998168889431442"/>
        <bgColor indexed="64"/>
      </patternFill>
    </fill>
    <fill>
      <patternFill patternType="solid">
        <fgColor rgb="FFCCFF66"/>
        <bgColor indexed="64"/>
      </patternFill>
    </fill>
    <fill>
      <patternFill patternType="solid">
        <fgColor theme="3" tint="0.39997558519241921"/>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theme="4" tint="0.59999389629810485"/>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4" tint="-0.249977111117893"/>
        <bgColor indexed="64"/>
      </patternFill>
    </fill>
    <fill>
      <patternFill patternType="solid">
        <fgColor theme="8" tint="0.39997558519241921"/>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2" tint="-9.9978637043366805E-2"/>
        <bgColor indexed="64"/>
      </patternFill>
    </fill>
    <fill>
      <patternFill patternType="solid">
        <fgColor theme="2" tint="-0.249977111117893"/>
        <bgColor indexed="64"/>
      </patternFill>
    </fill>
    <fill>
      <patternFill patternType="solid">
        <fgColor rgb="FF666666"/>
        <bgColor indexed="64"/>
      </patternFill>
    </fill>
    <fill>
      <patternFill patternType="solid">
        <fgColor theme="9"/>
        <bgColor indexed="64"/>
      </patternFill>
    </fill>
    <fill>
      <patternFill patternType="solid">
        <fgColor theme="7" tint="-0.499984740745262"/>
        <bgColor indexed="64"/>
      </patternFill>
    </fill>
    <fill>
      <patternFill patternType="solid">
        <fgColor theme="4" tint="0.79998168889431442"/>
        <bgColor indexed="64"/>
      </patternFill>
    </fill>
    <fill>
      <patternFill patternType="solid">
        <fgColor rgb="FF7030A0"/>
        <bgColor indexed="64"/>
      </patternFill>
    </fill>
    <fill>
      <patternFill patternType="solid">
        <fgColor theme="5"/>
        <bgColor indexed="64"/>
      </patternFill>
    </fill>
    <fill>
      <patternFill patternType="solid">
        <fgColor theme="9" tint="0.79998168889431442"/>
        <bgColor indexed="64"/>
      </patternFill>
    </fill>
    <fill>
      <patternFill patternType="solid">
        <fgColor theme="0"/>
        <bgColor indexed="64"/>
      </patternFill>
    </fill>
  </fills>
  <borders count="37">
    <border>
      <left/>
      <right/>
      <top/>
      <bottom/>
      <diagonal/>
    </border>
    <border>
      <left style="thin">
        <color indexed="64"/>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style="thin">
        <color indexed="64"/>
      </top>
      <bottom/>
      <diagonal/>
    </border>
    <border>
      <left style="thin">
        <color rgb="FF000000"/>
      </left>
      <right style="thin">
        <color rgb="FF000000"/>
      </right>
      <top/>
      <bottom style="thin">
        <color rgb="FF000000"/>
      </bottom>
      <diagonal/>
    </border>
    <border>
      <left/>
      <right style="thin">
        <color indexed="64"/>
      </right>
      <top/>
      <bottom style="thin">
        <color indexed="64"/>
      </bottom>
      <diagonal/>
    </border>
    <border>
      <left/>
      <right style="thin">
        <color rgb="FF000000"/>
      </right>
      <top style="thin">
        <color rgb="FF000000"/>
      </top>
      <bottom style="thin">
        <color rgb="FF000000"/>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style="thin">
        <color rgb="FF000000"/>
      </right>
      <top/>
      <bottom style="thin">
        <color rgb="FF000000"/>
      </bottom>
      <diagonal/>
    </border>
    <border>
      <left style="thin">
        <color rgb="FF000000"/>
      </left>
      <right/>
      <top/>
      <bottom style="thin">
        <color rgb="FF000000"/>
      </bottom>
      <diagonal/>
    </border>
    <border>
      <left/>
      <right style="thin">
        <color rgb="FF000000"/>
      </right>
      <top style="thin">
        <color rgb="FF000000"/>
      </top>
      <bottom/>
      <diagonal/>
    </border>
    <border>
      <left/>
      <right/>
      <top style="thin">
        <color rgb="FF000000"/>
      </top>
      <bottom/>
      <diagonal/>
    </border>
    <border>
      <left/>
      <right/>
      <top style="thin">
        <color indexed="64"/>
      </top>
      <bottom style="thin">
        <color indexed="64"/>
      </bottom>
      <diagonal/>
    </border>
    <border>
      <left/>
      <right/>
      <top/>
      <bottom style="thin">
        <color indexed="64"/>
      </bottom>
      <diagonal/>
    </border>
    <border>
      <left/>
      <right/>
      <top/>
      <bottom style="thin">
        <color rgb="FF000000"/>
      </bottom>
      <diagonal/>
    </border>
    <border>
      <left style="thin">
        <color rgb="FF000000"/>
      </left>
      <right/>
      <top/>
      <bottom/>
      <diagonal/>
    </border>
    <border>
      <left/>
      <right style="thin">
        <color indexed="64"/>
      </right>
      <top/>
      <bottom/>
      <diagonal/>
    </border>
    <border>
      <left style="thin">
        <color indexed="64"/>
      </left>
      <right/>
      <top style="thin">
        <color indexed="64"/>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rgb="FF000000"/>
      </top>
      <bottom/>
      <diagonal/>
    </border>
    <border>
      <left style="medium">
        <color indexed="64"/>
      </left>
      <right style="medium">
        <color indexed="64"/>
      </right>
      <top/>
      <bottom/>
      <diagonal/>
    </border>
    <border>
      <left style="medium">
        <color indexed="64"/>
      </left>
      <right style="medium">
        <color indexed="64"/>
      </right>
      <top style="thin">
        <color rgb="FF000000"/>
      </top>
      <bottom style="thin">
        <color rgb="FF000000"/>
      </bottom>
      <diagonal/>
    </border>
    <border>
      <left style="medium">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bottom/>
      <diagonal/>
    </border>
    <border>
      <left/>
      <right style="medium">
        <color indexed="64"/>
      </right>
      <top/>
      <bottom/>
      <diagonal/>
    </border>
  </borders>
  <cellStyleXfs count="2">
    <xf numFmtId="0" fontId="0" fillId="0" borderId="0"/>
    <xf numFmtId="0" fontId="114" fillId="0" borderId="0" applyNumberFormat="0" applyFill="0" applyBorder="0" applyAlignment="0" applyProtection="0"/>
  </cellStyleXfs>
  <cellXfs count="1679">
    <xf numFmtId="0" fontId="0" fillId="0" borderId="0" xfId="0"/>
    <xf numFmtId="0" fontId="0" fillId="0" borderId="1" xfId="0" applyBorder="1" applyAlignment="1">
      <alignment horizontal="center" vertical="center"/>
    </xf>
    <xf numFmtId="3" fontId="0" fillId="0" borderId="1" xfId="0" applyNumberFormat="1" applyBorder="1" applyAlignment="1">
      <alignment horizontal="center" vertical="center"/>
    </xf>
    <xf numFmtId="3" fontId="0" fillId="0" borderId="0" xfId="0" applyNumberFormat="1"/>
    <xf numFmtId="3" fontId="1" fillId="2" borderId="1" xfId="0" applyNumberFormat="1" applyFont="1" applyFill="1" applyBorder="1"/>
    <xf numFmtId="3" fontId="1" fillId="2" borderId="1" xfId="0" applyNumberFormat="1" applyFont="1" applyFill="1" applyBorder="1" applyAlignment="1">
      <alignment horizontal="center" vertical="center"/>
    </xf>
    <xf numFmtId="3" fontId="4" fillId="2" borderId="1" xfId="0" applyNumberFormat="1" applyFont="1" applyFill="1" applyBorder="1" applyAlignment="1">
      <alignment horizontal="center" vertical="center"/>
    </xf>
    <xf numFmtId="0" fontId="3" fillId="3" borderId="1" xfId="0" applyFont="1" applyFill="1" applyBorder="1" applyAlignment="1">
      <alignment horizontal="center" vertical="center" wrapText="1"/>
    </xf>
    <xf numFmtId="3" fontId="3" fillId="3" borderId="1" xfId="0" applyNumberFormat="1" applyFont="1" applyFill="1" applyBorder="1" applyAlignment="1">
      <alignment horizontal="center" vertical="center" wrapText="1"/>
    </xf>
    <xf numFmtId="0" fontId="0" fillId="3" borderId="1" xfId="0" applyFill="1" applyBorder="1" applyAlignment="1">
      <alignment horizontal="center" vertical="center"/>
    </xf>
    <xf numFmtId="0" fontId="0" fillId="4" borderId="1" xfId="0" applyFill="1" applyBorder="1" applyAlignment="1">
      <alignment horizontal="center" vertical="center" wrapText="1"/>
    </xf>
    <xf numFmtId="3" fontId="0" fillId="4" borderId="1" xfId="0" applyNumberFormat="1" applyFill="1" applyBorder="1" applyAlignment="1">
      <alignment horizontal="center" vertical="center" wrapText="1"/>
    </xf>
    <xf numFmtId="0" fontId="0" fillId="4" borderId="1" xfId="0" applyFill="1" applyBorder="1" applyAlignment="1">
      <alignment horizontal="center" vertical="center"/>
    </xf>
    <xf numFmtId="3" fontId="2" fillId="4" borderId="1" xfId="0" applyNumberFormat="1" applyFont="1" applyFill="1" applyBorder="1" applyAlignment="1">
      <alignment horizontal="center" vertical="center" wrapText="1"/>
    </xf>
    <xf numFmtId="3" fontId="5" fillId="2" borderId="1" xfId="0" applyNumberFormat="1" applyFont="1" applyFill="1" applyBorder="1" applyAlignment="1">
      <alignment horizontal="center" vertical="center"/>
    </xf>
    <xf numFmtId="3" fontId="4" fillId="2" borderId="1" xfId="0" applyNumberFormat="1" applyFont="1" applyFill="1" applyBorder="1"/>
    <xf numFmtId="0" fontId="0" fillId="5" borderId="1" xfId="0" applyFill="1" applyBorder="1" applyAlignment="1">
      <alignment horizontal="center" vertical="center"/>
    </xf>
    <xf numFmtId="3" fontId="0" fillId="5" borderId="1" xfId="0" applyNumberFormat="1" applyFill="1" applyBorder="1" applyAlignment="1">
      <alignment horizontal="center" vertical="center"/>
    </xf>
    <xf numFmtId="0" fontId="1" fillId="2" borderId="1" xfId="0" applyFont="1" applyFill="1" applyBorder="1" applyAlignment="1">
      <alignment horizontal="center" vertical="center"/>
    </xf>
    <xf numFmtId="3" fontId="1" fillId="2" borderId="1" xfId="0" applyNumberFormat="1" applyFont="1" applyFill="1" applyBorder="1" applyAlignment="1">
      <alignment horizontal="center" vertical="center" wrapText="1"/>
    </xf>
    <xf numFmtId="10" fontId="4" fillId="2" borderId="1" xfId="0" applyNumberFormat="1" applyFont="1" applyFill="1" applyBorder="1" applyAlignment="1">
      <alignment horizontal="center" vertical="center"/>
    </xf>
    <xf numFmtId="10" fontId="4" fillId="2" borderId="1" xfId="0" applyNumberFormat="1" applyFont="1" applyFill="1" applyBorder="1"/>
    <xf numFmtId="10" fontId="6" fillId="2" borderId="1" xfId="0" applyNumberFormat="1" applyFont="1" applyFill="1" applyBorder="1"/>
    <xf numFmtId="49" fontId="1" fillId="2" borderId="1" xfId="0" applyNumberFormat="1" applyFont="1" applyFill="1" applyBorder="1" applyAlignment="1">
      <alignment horizontal="left" vertical="top"/>
    </xf>
    <xf numFmtId="49" fontId="3" fillId="3" borderId="1" xfId="0" applyNumberFormat="1" applyFont="1" applyFill="1" applyBorder="1" applyAlignment="1">
      <alignment horizontal="left" vertical="top" wrapText="1"/>
    </xf>
    <xf numFmtId="49" fontId="0" fillId="4" borderId="1" xfId="0" applyNumberFormat="1" applyFill="1" applyBorder="1" applyAlignment="1">
      <alignment horizontal="left" vertical="top" wrapText="1"/>
    </xf>
    <xf numFmtId="49" fontId="0" fillId="5" borderId="1" xfId="0" applyNumberFormat="1" applyFill="1" applyBorder="1" applyAlignment="1">
      <alignment horizontal="left" vertical="top"/>
    </xf>
    <xf numFmtId="49" fontId="0" fillId="0" borderId="1" xfId="0" applyNumberFormat="1" applyBorder="1" applyAlignment="1">
      <alignment horizontal="left" vertical="top"/>
    </xf>
    <xf numFmtId="49" fontId="0" fillId="0" borderId="0" xfId="0" applyNumberFormat="1" applyAlignment="1">
      <alignment horizontal="left" vertical="top"/>
    </xf>
    <xf numFmtId="49" fontId="9" fillId="0" borderId="1" xfId="0" applyNumberFormat="1" applyFont="1" applyBorder="1" applyAlignment="1">
      <alignment horizontal="center" vertical="center" wrapText="1"/>
    </xf>
    <xf numFmtId="0" fontId="9" fillId="0" borderId="1" xfId="0" applyFont="1" applyBorder="1" applyAlignment="1">
      <alignment horizontal="center" vertical="center" wrapText="1"/>
    </xf>
    <xf numFmtId="0" fontId="9" fillId="0" borderId="1" xfId="0" applyFont="1" applyBorder="1" applyAlignment="1">
      <alignment horizontal="center" vertical="center"/>
    </xf>
    <xf numFmtId="10" fontId="9" fillId="0" borderId="1" xfId="0" applyNumberFormat="1" applyFont="1" applyBorder="1" applyAlignment="1">
      <alignment horizontal="center" vertical="center"/>
    </xf>
    <xf numFmtId="1" fontId="9" fillId="0" borderId="1" xfId="0" applyNumberFormat="1" applyFont="1" applyBorder="1" applyAlignment="1">
      <alignment horizontal="center" vertical="center"/>
    </xf>
    <xf numFmtId="49" fontId="8" fillId="2" borderId="1" xfId="0" applyNumberFormat="1" applyFont="1" applyFill="1" applyBorder="1" applyAlignment="1">
      <alignment horizontal="center" vertical="center" wrapText="1"/>
    </xf>
    <xf numFmtId="0" fontId="8" fillId="2" borderId="1" xfId="0" applyFont="1" applyFill="1" applyBorder="1" applyAlignment="1">
      <alignment horizontal="center" vertical="center" wrapText="1"/>
    </xf>
    <xf numFmtId="49" fontId="11" fillId="0" borderId="1" xfId="0" applyNumberFormat="1" applyFont="1" applyBorder="1" applyAlignment="1">
      <alignment horizontal="center" vertical="center" wrapText="1"/>
    </xf>
    <xf numFmtId="0" fontId="11" fillId="0" borderId="1" xfId="0" applyFont="1" applyBorder="1" applyAlignment="1">
      <alignment horizontal="center" vertical="center" wrapText="1"/>
    </xf>
    <xf numFmtId="0" fontId="10" fillId="0" borderId="1" xfId="0" applyFont="1" applyBorder="1" applyAlignment="1">
      <alignment horizontal="center" vertical="center" wrapText="1"/>
    </xf>
    <xf numFmtId="10" fontId="11" fillId="0" borderId="1" xfId="0" applyNumberFormat="1" applyFont="1" applyBorder="1" applyAlignment="1">
      <alignment horizontal="center" vertical="center" wrapText="1"/>
    </xf>
    <xf numFmtId="1" fontId="11" fillId="0" borderId="1" xfId="0" applyNumberFormat="1" applyFont="1" applyBorder="1" applyAlignment="1">
      <alignment horizontal="center" vertical="center" wrapText="1"/>
    </xf>
    <xf numFmtId="49" fontId="10" fillId="0" borderId="1" xfId="0" applyNumberFormat="1" applyFont="1" applyBorder="1" applyAlignment="1">
      <alignment horizontal="center" vertical="center" wrapText="1"/>
    </xf>
    <xf numFmtId="10" fontId="10" fillId="0" borderId="1" xfId="0" applyNumberFormat="1" applyFont="1" applyBorder="1" applyAlignment="1">
      <alignment horizontal="center" vertical="center" wrapText="1"/>
    </xf>
    <xf numFmtId="9" fontId="10" fillId="0" borderId="1" xfId="0" applyNumberFormat="1" applyFont="1" applyBorder="1" applyAlignment="1">
      <alignment horizontal="center" vertical="center" wrapText="1"/>
    </xf>
    <xf numFmtId="49" fontId="10" fillId="0" borderId="1" xfId="0" applyNumberFormat="1" applyFont="1" applyBorder="1" applyAlignment="1">
      <alignment horizontal="center" vertical="center" wrapText="1" readingOrder="1"/>
    </xf>
    <xf numFmtId="1" fontId="10" fillId="0" borderId="1" xfId="0" applyNumberFormat="1" applyFont="1" applyBorder="1" applyAlignment="1">
      <alignment horizontal="center" vertical="center" wrapText="1"/>
    </xf>
    <xf numFmtId="49" fontId="11" fillId="2" borderId="1" xfId="0" applyNumberFormat="1" applyFont="1" applyFill="1" applyBorder="1" applyAlignment="1">
      <alignment horizontal="center" vertical="center" wrapText="1"/>
    </xf>
    <xf numFmtId="0" fontId="11" fillId="2" borderId="1" xfId="0" applyFont="1" applyFill="1" applyBorder="1" applyAlignment="1">
      <alignment horizontal="center" vertical="center" wrapText="1"/>
    </xf>
    <xf numFmtId="0" fontId="7" fillId="0" borderId="1" xfId="0" applyFont="1" applyBorder="1" applyAlignment="1">
      <alignment horizontal="center" vertical="center" wrapText="1"/>
    </xf>
    <xf numFmtId="0" fontId="8" fillId="0" borderId="1" xfId="0" applyFont="1" applyBorder="1" applyAlignment="1">
      <alignment horizontal="center" vertical="center"/>
    </xf>
    <xf numFmtId="0" fontId="8" fillId="0" borderId="1" xfId="0" applyFont="1" applyBorder="1" applyAlignment="1">
      <alignment horizontal="center" vertical="center" readingOrder="1"/>
    </xf>
    <xf numFmtId="0" fontId="8" fillId="6" borderId="1" xfId="0" applyFont="1" applyFill="1" applyBorder="1" applyAlignment="1">
      <alignment horizontal="center" vertical="center"/>
    </xf>
    <xf numFmtId="0" fontId="9" fillId="6" borderId="1" xfId="0" applyFont="1" applyFill="1" applyBorder="1" applyAlignment="1">
      <alignment horizontal="center" vertical="center"/>
    </xf>
    <xf numFmtId="10" fontId="9" fillId="6" borderId="1" xfId="0" applyNumberFormat="1" applyFont="1" applyFill="1" applyBorder="1" applyAlignment="1">
      <alignment horizontal="center" vertical="center"/>
    </xf>
    <xf numFmtId="1" fontId="9" fillId="6" borderId="1" xfId="0" applyNumberFormat="1" applyFont="1" applyFill="1" applyBorder="1" applyAlignment="1">
      <alignment horizontal="center" vertical="center"/>
    </xf>
    <xf numFmtId="49" fontId="9" fillId="6" borderId="1" xfId="0" applyNumberFormat="1" applyFont="1" applyFill="1" applyBorder="1" applyAlignment="1">
      <alignment horizontal="center" vertical="center" wrapText="1"/>
    </xf>
    <xf numFmtId="0" fontId="9" fillId="6" borderId="1" xfId="0" applyFont="1" applyFill="1" applyBorder="1" applyAlignment="1">
      <alignment horizontal="center" vertical="center" wrapText="1"/>
    </xf>
    <xf numFmtId="0" fontId="12" fillId="0" borderId="1" xfId="0" applyFont="1" applyBorder="1" applyAlignment="1">
      <alignment horizontal="center" vertical="center"/>
    </xf>
    <xf numFmtId="0" fontId="13" fillId="0" borderId="1" xfId="0" applyFont="1" applyBorder="1" applyAlignment="1">
      <alignment horizontal="center" vertical="center"/>
    </xf>
    <xf numFmtId="10" fontId="13" fillId="0" borderId="1" xfId="0" applyNumberFormat="1" applyFont="1" applyBorder="1" applyAlignment="1">
      <alignment horizontal="center" vertical="center"/>
    </xf>
    <xf numFmtId="1" fontId="13" fillId="0" borderId="1" xfId="0" applyNumberFormat="1" applyFont="1" applyBorder="1" applyAlignment="1">
      <alignment horizontal="center" vertical="center"/>
    </xf>
    <xf numFmtId="0" fontId="13" fillId="0" borderId="1" xfId="0" applyFont="1" applyBorder="1" applyAlignment="1">
      <alignment horizontal="center" vertical="center" wrapText="1"/>
    </xf>
    <xf numFmtId="49" fontId="12" fillId="0" borderId="1" xfId="0" applyNumberFormat="1" applyFont="1" applyBorder="1" applyAlignment="1">
      <alignment horizontal="center" vertical="center" wrapText="1"/>
    </xf>
    <xf numFmtId="10" fontId="12" fillId="0" borderId="1" xfId="0" applyNumberFormat="1" applyFont="1" applyBorder="1" applyAlignment="1">
      <alignment horizontal="center" vertical="center"/>
    </xf>
    <xf numFmtId="1" fontId="12" fillId="0" borderId="1" xfId="0" applyNumberFormat="1" applyFont="1" applyBorder="1" applyAlignment="1">
      <alignment horizontal="center" vertical="center"/>
    </xf>
    <xf numFmtId="0" fontId="12" fillId="0" borderId="1" xfId="0" applyFont="1" applyBorder="1" applyAlignment="1">
      <alignment horizontal="center" vertical="center" wrapText="1"/>
    </xf>
    <xf numFmtId="0" fontId="0" fillId="6" borderId="0" xfId="0" applyFill="1" applyAlignment="1">
      <alignment horizontal="center" vertical="center"/>
    </xf>
    <xf numFmtId="10" fontId="8" fillId="0" borderId="1" xfId="0" applyNumberFormat="1" applyFont="1" applyBorder="1" applyAlignment="1">
      <alignment horizontal="center" vertical="center"/>
    </xf>
    <xf numFmtId="1" fontId="8" fillId="0" borderId="1" xfId="0" applyNumberFormat="1" applyFont="1" applyBorder="1" applyAlignment="1">
      <alignment horizontal="center" vertical="center"/>
    </xf>
    <xf numFmtId="49" fontId="8" fillId="0" borderId="1" xfId="0" applyNumberFormat="1" applyFont="1" applyBorder="1" applyAlignment="1">
      <alignment horizontal="center" vertical="center" wrapText="1"/>
    </xf>
    <xf numFmtId="49" fontId="8" fillId="0" borderId="1" xfId="0" applyNumberFormat="1" applyFont="1" applyBorder="1" applyAlignment="1">
      <alignment horizontal="center" vertical="center" wrapText="1" readingOrder="1"/>
    </xf>
    <xf numFmtId="0" fontId="8" fillId="0" borderId="1" xfId="0" applyFont="1" applyBorder="1" applyAlignment="1">
      <alignment horizontal="center" vertical="center" wrapText="1"/>
    </xf>
    <xf numFmtId="10" fontId="8" fillId="6" borderId="1" xfId="0" applyNumberFormat="1" applyFont="1" applyFill="1" applyBorder="1" applyAlignment="1">
      <alignment horizontal="center" vertical="center"/>
    </xf>
    <xf numFmtId="1" fontId="8" fillId="6" borderId="1" xfId="0" applyNumberFormat="1" applyFont="1" applyFill="1" applyBorder="1" applyAlignment="1">
      <alignment horizontal="center" vertical="center"/>
    </xf>
    <xf numFmtId="49" fontId="8" fillId="6" borderId="1" xfId="0" applyNumberFormat="1" applyFont="1" applyFill="1" applyBorder="1" applyAlignment="1">
      <alignment horizontal="center" vertical="center" wrapText="1"/>
    </xf>
    <xf numFmtId="0" fontId="8" fillId="6" borderId="1" xfId="0" applyFont="1" applyFill="1" applyBorder="1" applyAlignment="1">
      <alignment horizontal="center" vertical="center" wrapText="1"/>
    </xf>
    <xf numFmtId="49" fontId="8" fillId="6" borderId="1" xfId="0" applyNumberFormat="1" applyFont="1" applyFill="1" applyBorder="1" applyAlignment="1">
      <alignment horizontal="center" vertical="center" wrapText="1" readingOrder="1"/>
    </xf>
    <xf numFmtId="49" fontId="10" fillId="6" borderId="1" xfId="0" applyNumberFormat="1" applyFont="1" applyFill="1" applyBorder="1" applyAlignment="1">
      <alignment horizontal="center" vertical="center" wrapText="1"/>
    </xf>
    <xf numFmtId="49" fontId="11" fillId="6" borderId="1" xfId="0" applyNumberFormat="1" applyFont="1" applyFill="1" applyBorder="1" applyAlignment="1">
      <alignment horizontal="center" vertical="center" wrapText="1"/>
    </xf>
    <xf numFmtId="49" fontId="10" fillId="6" borderId="1" xfId="0" applyNumberFormat="1" applyFont="1" applyFill="1" applyBorder="1" applyAlignment="1">
      <alignment horizontal="center" vertical="center" wrapText="1" readingOrder="1"/>
    </xf>
    <xf numFmtId="0" fontId="10" fillId="6" borderId="1" xfId="0" applyFont="1" applyFill="1" applyBorder="1" applyAlignment="1">
      <alignment horizontal="center" vertical="center"/>
    </xf>
    <xf numFmtId="10" fontId="10" fillId="6" borderId="1" xfId="0" applyNumberFormat="1" applyFont="1" applyFill="1" applyBorder="1" applyAlignment="1">
      <alignment horizontal="center" vertical="center"/>
    </xf>
    <xf numFmtId="1" fontId="10" fillId="6" borderId="1" xfId="0" applyNumberFormat="1" applyFont="1" applyFill="1" applyBorder="1" applyAlignment="1">
      <alignment horizontal="center" vertical="center"/>
    </xf>
    <xf numFmtId="0" fontId="0" fillId="0" borderId="2" xfId="0" applyBorder="1"/>
    <xf numFmtId="0" fontId="0" fillId="0" borderId="2" xfId="0" applyBorder="1" applyAlignment="1">
      <alignment horizontal="center" vertical="center"/>
    </xf>
    <xf numFmtId="3" fontId="0" fillId="0" borderId="6" xfId="0" applyNumberFormat="1" applyBorder="1" applyAlignment="1">
      <alignment horizontal="center" vertical="center"/>
    </xf>
    <xf numFmtId="0" fontId="0" fillId="0" borderId="7" xfId="0" applyBorder="1" applyAlignment="1">
      <alignment horizontal="center" vertical="center"/>
    </xf>
    <xf numFmtId="0" fontId="0" fillId="0" borderId="4" xfId="0" applyBorder="1" applyAlignment="1">
      <alignment horizontal="center" vertical="center"/>
    </xf>
    <xf numFmtId="0" fontId="0" fillId="6" borderId="2" xfId="0" applyFill="1" applyBorder="1" applyAlignment="1">
      <alignment horizontal="center" vertical="center"/>
    </xf>
    <xf numFmtId="0" fontId="0" fillId="4" borderId="2" xfId="0" applyFill="1" applyBorder="1" applyAlignment="1">
      <alignment horizontal="center" vertical="center"/>
    </xf>
    <xf numFmtId="0" fontId="15" fillId="2" borderId="3" xfId="0" applyFont="1" applyFill="1" applyBorder="1" applyAlignment="1">
      <alignment horizontal="center" vertical="center"/>
    </xf>
    <xf numFmtId="0" fontId="15" fillId="2" borderId="5" xfId="0" applyFont="1" applyFill="1" applyBorder="1" applyAlignment="1">
      <alignment horizontal="center" vertical="center"/>
    </xf>
    <xf numFmtId="0" fontId="1" fillId="2" borderId="5" xfId="0" applyFont="1" applyFill="1" applyBorder="1" applyAlignment="1">
      <alignment horizontal="center" vertical="center"/>
    </xf>
    <xf numFmtId="0" fontId="18" fillId="0" borderId="4" xfId="0" applyFont="1" applyBorder="1" applyAlignment="1">
      <alignment horizontal="center" vertical="center"/>
    </xf>
    <xf numFmtId="0" fontId="17" fillId="4" borderId="4" xfId="0" applyFont="1" applyFill="1" applyBorder="1" applyAlignment="1">
      <alignment horizontal="center" vertical="center"/>
    </xf>
    <xf numFmtId="0" fontId="18" fillId="4" borderId="4" xfId="0" applyFont="1" applyFill="1" applyBorder="1" applyAlignment="1">
      <alignment horizontal="center" vertical="center"/>
    </xf>
    <xf numFmtId="0" fontId="17" fillId="0" borderId="4" xfId="0" applyFont="1" applyBorder="1" applyAlignment="1">
      <alignment horizontal="center" vertical="center"/>
    </xf>
    <xf numFmtId="3" fontId="1" fillId="2" borderId="2" xfId="0" applyNumberFormat="1" applyFont="1" applyFill="1" applyBorder="1" applyAlignment="1">
      <alignment horizontal="center" vertical="center" wrapText="1"/>
    </xf>
    <xf numFmtId="0" fontId="3" fillId="3" borderId="8" xfId="0" applyFont="1" applyFill="1" applyBorder="1" applyAlignment="1">
      <alignment horizontal="center" vertical="center" wrapText="1"/>
    </xf>
    <xf numFmtId="3" fontId="3" fillId="3" borderId="8" xfId="0" applyNumberFormat="1" applyFont="1" applyFill="1" applyBorder="1" applyAlignment="1">
      <alignment horizontal="center" vertical="center" wrapText="1"/>
    </xf>
    <xf numFmtId="0" fontId="0" fillId="3" borderId="8" xfId="0" applyFill="1" applyBorder="1" applyAlignment="1">
      <alignment horizontal="center" vertical="center"/>
    </xf>
    <xf numFmtId="0" fontId="1" fillId="2" borderId="2" xfId="0" applyFont="1" applyFill="1" applyBorder="1" applyAlignment="1">
      <alignment horizontal="center" vertical="center" wrapText="1"/>
    </xf>
    <xf numFmtId="0" fontId="0" fillId="4" borderId="2" xfId="0" applyFill="1" applyBorder="1" applyAlignment="1">
      <alignment horizontal="center" vertical="center" wrapText="1"/>
    </xf>
    <xf numFmtId="3" fontId="0" fillId="4" borderId="2" xfId="0" applyNumberFormat="1" applyFill="1" applyBorder="1" applyAlignment="1">
      <alignment horizontal="center" vertical="center" wrapText="1"/>
    </xf>
    <xf numFmtId="3" fontId="2" fillId="4" borderId="2" xfId="0" applyNumberFormat="1" applyFont="1" applyFill="1" applyBorder="1" applyAlignment="1">
      <alignment horizontal="center" vertical="center" wrapText="1"/>
    </xf>
    <xf numFmtId="0" fontId="0" fillId="4" borderId="7" xfId="0" applyFill="1" applyBorder="1" applyAlignment="1">
      <alignment horizontal="center" vertical="center" wrapText="1"/>
    </xf>
    <xf numFmtId="3" fontId="0" fillId="4" borderId="7" xfId="0" applyNumberFormat="1" applyFill="1" applyBorder="1" applyAlignment="1">
      <alignment horizontal="center" vertical="center" wrapText="1"/>
    </xf>
    <xf numFmtId="3" fontId="2" fillId="4" borderId="7" xfId="0" applyNumberFormat="1" applyFont="1" applyFill="1" applyBorder="1" applyAlignment="1">
      <alignment horizontal="center" vertical="center" wrapText="1"/>
    </xf>
    <xf numFmtId="0" fontId="0" fillId="4" borderId="7" xfId="0" applyFill="1" applyBorder="1" applyAlignment="1">
      <alignment horizontal="center" vertical="center"/>
    </xf>
    <xf numFmtId="0" fontId="0" fillId="4" borderId="8" xfId="0" applyFill="1" applyBorder="1" applyAlignment="1">
      <alignment horizontal="center" vertical="center" wrapText="1"/>
    </xf>
    <xf numFmtId="3" fontId="0" fillId="4" borderId="8" xfId="0" applyNumberFormat="1" applyFill="1" applyBorder="1" applyAlignment="1">
      <alignment horizontal="center" vertical="center" wrapText="1"/>
    </xf>
    <xf numFmtId="3" fontId="2" fillId="4" borderId="8" xfId="0" applyNumberFormat="1" applyFont="1" applyFill="1" applyBorder="1" applyAlignment="1">
      <alignment horizontal="center" vertical="center" wrapText="1"/>
    </xf>
    <xf numFmtId="0" fontId="0" fillId="4" borderId="8" xfId="0" applyFill="1" applyBorder="1" applyAlignment="1">
      <alignment horizontal="center" vertical="center"/>
    </xf>
    <xf numFmtId="0" fontId="0" fillId="4" borderId="9" xfId="0" applyFill="1" applyBorder="1" applyAlignment="1">
      <alignment horizontal="center" vertical="center" wrapText="1"/>
    </xf>
    <xf numFmtId="3" fontId="0" fillId="4" borderId="9" xfId="0" applyNumberFormat="1" applyFill="1" applyBorder="1" applyAlignment="1">
      <alignment horizontal="center" vertical="center" wrapText="1"/>
    </xf>
    <xf numFmtId="3" fontId="2" fillId="4" borderId="9" xfId="0" applyNumberFormat="1" applyFont="1" applyFill="1" applyBorder="1" applyAlignment="1">
      <alignment horizontal="center" vertical="center" wrapText="1"/>
    </xf>
    <xf numFmtId="0" fontId="0" fillId="4" borderId="9" xfId="0" applyFill="1" applyBorder="1" applyAlignment="1">
      <alignment horizontal="center" vertical="center"/>
    </xf>
    <xf numFmtId="10" fontId="1" fillId="2" borderId="2" xfId="0" applyNumberFormat="1" applyFont="1" applyFill="1" applyBorder="1" applyAlignment="1">
      <alignment horizontal="center" vertical="center" wrapText="1"/>
    </xf>
    <xf numFmtId="10" fontId="4" fillId="2" borderId="0" xfId="0" applyNumberFormat="1" applyFont="1" applyFill="1" applyAlignment="1">
      <alignment horizontal="center" vertical="center"/>
    </xf>
    <xf numFmtId="10" fontId="4" fillId="2" borderId="2" xfId="0" applyNumberFormat="1" applyFont="1" applyFill="1" applyBorder="1" applyAlignment="1">
      <alignment horizontal="center" vertical="center"/>
    </xf>
    <xf numFmtId="10" fontId="1" fillId="0" borderId="0" xfId="0" applyNumberFormat="1" applyFont="1" applyAlignment="1">
      <alignment horizontal="center" vertical="center"/>
    </xf>
    <xf numFmtId="0" fontId="0" fillId="2" borderId="1" xfId="0" applyFill="1" applyBorder="1" applyAlignment="1">
      <alignment horizontal="center" vertical="center" wrapText="1"/>
    </xf>
    <xf numFmtId="3" fontId="0" fillId="2" borderId="1" xfId="0" applyNumberFormat="1" applyFill="1" applyBorder="1" applyAlignment="1">
      <alignment horizontal="center" vertical="center" wrapText="1"/>
    </xf>
    <xf numFmtId="3" fontId="2" fillId="2" borderId="1" xfId="0" applyNumberFormat="1" applyFont="1" applyFill="1" applyBorder="1" applyAlignment="1">
      <alignment horizontal="center" vertical="center" wrapText="1"/>
    </xf>
    <xf numFmtId="0" fontId="0" fillId="2" borderId="1" xfId="0" applyFill="1" applyBorder="1" applyAlignment="1">
      <alignment horizontal="center" vertical="center"/>
    </xf>
    <xf numFmtId="0" fontId="0" fillId="0" borderId="2" xfId="0" applyBorder="1" applyAlignment="1">
      <alignment horizontal="center" vertical="center" wrapText="1"/>
    </xf>
    <xf numFmtId="3" fontId="0" fillId="0" borderId="2" xfId="0" applyNumberFormat="1" applyBorder="1" applyAlignment="1">
      <alignment horizontal="center" vertical="center" wrapText="1"/>
    </xf>
    <xf numFmtId="3" fontId="2" fillId="0" borderId="2" xfId="0" applyNumberFormat="1" applyFont="1" applyBorder="1" applyAlignment="1">
      <alignment horizontal="center" vertical="center" wrapText="1"/>
    </xf>
    <xf numFmtId="10" fontId="1" fillId="2" borderId="0" xfId="0" applyNumberFormat="1" applyFont="1" applyFill="1" applyAlignment="1">
      <alignment horizontal="center" vertical="center"/>
    </xf>
    <xf numFmtId="0" fontId="0" fillId="5" borderId="2" xfId="0" applyFill="1" applyBorder="1" applyAlignment="1">
      <alignment horizontal="center" vertical="center"/>
    </xf>
    <xf numFmtId="3" fontId="0" fillId="5" borderId="2" xfId="0" applyNumberFormat="1" applyFill="1" applyBorder="1" applyAlignment="1">
      <alignment horizontal="center" vertical="center"/>
    </xf>
    <xf numFmtId="0" fontId="0" fillId="5" borderId="7" xfId="0" applyFill="1" applyBorder="1" applyAlignment="1">
      <alignment horizontal="center" vertical="center"/>
    </xf>
    <xf numFmtId="3" fontId="0" fillId="5" borderId="7" xfId="0" applyNumberFormat="1" applyFill="1" applyBorder="1" applyAlignment="1">
      <alignment horizontal="center" vertical="center"/>
    </xf>
    <xf numFmtId="0" fontId="0" fillId="5" borderId="8" xfId="0" applyFill="1" applyBorder="1" applyAlignment="1">
      <alignment horizontal="center" vertical="center"/>
    </xf>
    <xf numFmtId="3" fontId="0" fillId="5" borderId="8" xfId="0" applyNumberFormat="1" applyFill="1" applyBorder="1" applyAlignment="1">
      <alignment horizontal="center" vertical="center"/>
    </xf>
    <xf numFmtId="0" fontId="0" fillId="5" borderId="9" xfId="0" applyFill="1" applyBorder="1" applyAlignment="1">
      <alignment horizontal="center" vertical="center"/>
    </xf>
    <xf numFmtId="3" fontId="0" fillId="5" borderId="9" xfId="0" applyNumberFormat="1" applyFill="1" applyBorder="1" applyAlignment="1">
      <alignment horizontal="center" vertical="center"/>
    </xf>
    <xf numFmtId="3" fontId="0" fillId="0" borderId="2" xfId="0" applyNumberFormat="1" applyBorder="1" applyAlignment="1">
      <alignment horizontal="center" vertical="center"/>
    </xf>
    <xf numFmtId="3" fontId="0" fillId="0" borderId="7" xfId="0" applyNumberFormat="1" applyBorder="1" applyAlignment="1">
      <alignment horizontal="center" vertical="center"/>
    </xf>
    <xf numFmtId="0" fontId="0" fillId="0" borderId="8" xfId="0" applyBorder="1" applyAlignment="1">
      <alignment horizontal="center" vertical="center"/>
    </xf>
    <xf numFmtId="3" fontId="0" fillId="0" borderId="8" xfId="0" applyNumberFormat="1" applyBorder="1" applyAlignment="1">
      <alignment horizontal="center" vertical="center"/>
    </xf>
    <xf numFmtId="0" fontId="0" fillId="0" borderId="3" xfId="0" applyBorder="1" applyAlignment="1">
      <alignment horizontal="center" vertical="center"/>
    </xf>
    <xf numFmtId="3" fontId="0" fillId="0" borderId="10" xfId="0" applyNumberFormat="1" applyBorder="1" applyAlignment="1">
      <alignment horizontal="center" vertical="center"/>
    </xf>
    <xf numFmtId="0" fontId="0" fillId="0" borderId="11" xfId="0" applyBorder="1" applyAlignment="1">
      <alignment horizontal="center" vertical="center"/>
    </xf>
    <xf numFmtId="3" fontId="0" fillId="0" borderId="12" xfId="0" applyNumberFormat="1" applyBorder="1" applyAlignment="1">
      <alignment horizontal="center" vertical="center"/>
    </xf>
    <xf numFmtId="49" fontId="8" fillId="2" borderId="1" xfId="0" applyNumberFormat="1" applyFont="1" applyFill="1" applyBorder="1" applyAlignment="1">
      <alignment horizontal="center" vertical="center"/>
    </xf>
    <xf numFmtId="49" fontId="9" fillId="0" borderId="1" xfId="0" applyNumberFormat="1" applyFont="1" applyBorder="1" applyAlignment="1">
      <alignment horizontal="center" vertical="center"/>
    </xf>
    <xf numFmtId="49" fontId="7" fillId="0" borderId="1" xfId="0" applyNumberFormat="1" applyFont="1" applyBorder="1" applyAlignment="1">
      <alignment horizontal="center" vertical="center"/>
    </xf>
    <xf numFmtId="0" fontId="12" fillId="8" borderId="1" xfId="0" applyFont="1" applyFill="1" applyBorder="1" applyAlignment="1">
      <alignment horizontal="center" vertical="center"/>
    </xf>
    <xf numFmtId="49" fontId="12" fillId="8" borderId="1" xfId="0" applyNumberFormat="1" applyFont="1" applyFill="1" applyBorder="1" applyAlignment="1">
      <alignment horizontal="center" vertical="center" wrapText="1"/>
    </xf>
    <xf numFmtId="10" fontId="12" fillId="8" borderId="1" xfId="0" applyNumberFormat="1" applyFont="1" applyFill="1" applyBorder="1" applyAlignment="1">
      <alignment horizontal="center" vertical="center"/>
    </xf>
    <xf numFmtId="1" fontId="12" fillId="8" borderId="1" xfId="0" applyNumberFormat="1" applyFont="1" applyFill="1" applyBorder="1" applyAlignment="1">
      <alignment horizontal="center" vertical="center"/>
    </xf>
    <xf numFmtId="0" fontId="12" fillId="8" borderId="1" xfId="0" applyFont="1" applyFill="1" applyBorder="1" applyAlignment="1">
      <alignment horizontal="center" vertical="center" wrapText="1"/>
    </xf>
    <xf numFmtId="3" fontId="1" fillId="0" borderId="0" xfId="0" applyNumberFormat="1" applyFont="1" applyAlignment="1">
      <alignment horizontal="center" vertical="center" wrapText="1"/>
    </xf>
    <xf numFmtId="3" fontId="4" fillId="0" borderId="0" xfId="0" applyNumberFormat="1" applyFont="1" applyAlignment="1">
      <alignment horizontal="center" vertical="center" wrapText="1"/>
    </xf>
    <xf numFmtId="49" fontId="11" fillId="8" borderId="1" xfId="0" applyNumberFormat="1" applyFont="1" applyFill="1" applyBorder="1" applyAlignment="1">
      <alignment horizontal="center" vertical="center" wrapText="1"/>
    </xf>
    <xf numFmtId="0" fontId="0" fillId="0" borderId="0" xfId="0" applyAlignment="1">
      <alignment wrapText="1"/>
    </xf>
    <xf numFmtId="49" fontId="8" fillId="0" borderId="2" xfId="0" applyNumberFormat="1" applyFont="1" applyBorder="1" applyAlignment="1">
      <alignment horizontal="center" vertical="center" wrapText="1"/>
    </xf>
    <xf numFmtId="0" fontId="0" fillId="0" borderId="2" xfId="0" applyBorder="1" applyAlignment="1">
      <alignment wrapText="1"/>
    </xf>
    <xf numFmtId="0" fontId="1" fillId="0" borderId="2" xfId="0" applyFont="1" applyBorder="1"/>
    <xf numFmtId="0" fontId="1" fillId="0" borderId="2" xfId="0" applyFont="1" applyBorder="1" applyAlignment="1">
      <alignment horizontal="center" vertical="center" wrapText="1"/>
    </xf>
    <xf numFmtId="0" fontId="21" fillId="4" borderId="2" xfId="0" applyFont="1" applyFill="1" applyBorder="1" applyAlignment="1">
      <alignment horizontal="center" vertical="center"/>
    </xf>
    <xf numFmtId="0" fontId="22" fillId="4" borderId="4" xfId="0" applyFont="1" applyFill="1" applyBorder="1" applyAlignment="1">
      <alignment horizontal="center" vertical="center"/>
    </xf>
    <xf numFmtId="0" fontId="21" fillId="0" borderId="2" xfId="0" applyFont="1" applyBorder="1" applyAlignment="1">
      <alignment horizontal="center" vertical="center"/>
    </xf>
    <xf numFmtId="0" fontId="21" fillId="7" borderId="2" xfId="0" applyFont="1" applyFill="1" applyBorder="1" applyAlignment="1">
      <alignment horizontal="center" vertical="center"/>
    </xf>
    <xf numFmtId="0" fontId="22" fillId="0" borderId="4" xfId="0" applyFont="1" applyBorder="1" applyAlignment="1">
      <alignment horizontal="center" vertical="center"/>
    </xf>
    <xf numFmtId="9" fontId="0" fillId="0" borderId="2" xfId="0" applyNumberFormat="1" applyBorder="1"/>
    <xf numFmtId="0" fontId="1" fillId="6" borderId="2" xfId="0" applyFont="1" applyFill="1" applyBorder="1" applyAlignment="1">
      <alignment horizontal="center" vertical="center"/>
    </xf>
    <xf numFmtId="10" fontId="8" fillId="6" borderId="1" xfId="0" applyNumberFormat="1" applyFont="1" applyFill="1" applyBorder="1" applyAlignment="1">
      <alignment horizontal="center" vertical="center" wrapText="1"/>
    </xf>
    <xf numFmtId="1" fontId="8" fillId="6" borderId="1" xfId="0" applyNumberFormat="1" applyFont="1" applyFill="1" applyBorder="1" applyAlignment="1">
      <alignment horizontal="center" vertical="center" wrapText="1"/>
    </xf>
    <xf numFmtId="0" fontId="1" fillId="0" borderId="11" xfId="0" applyFont="1" applyBorder="1" applyAlignment="1">
      <alignment horizontal="center" vertical="center" wrapText="1"/>
    </xf>
    <xf numFmtId="0" fontId="23" fillId="6" borderId="2" xfId="0" applyFont="1" applyFill="1" applyBorder="1" applyAlignment="1">
      <alignment horizontal="center" vertical="center"/>
    </xf>
    <xf numFmtId="0" fontId="1" fillId="10" borderId="2" xfId="0" applyFont="1" applyFill="1" applyBorder="1" applyAlignment="1">
      <alignment horizontal="center" vertical="center"/>
    </xf>
    <xf numFmtId="49" fontId="20" fillId="10" borderId="2" xfId="0" applyNumberFormat="1" applyFont="1" applyFill="1" applyBorder="1" applyAlignment="1">
      <alignment horizontal="center" vertical="center" wrapText="1"/>
    </xf>
    <xf numFmtId="0" fontId="0" fillId="10" borderId="2" xfId="0" applyFill="1" applyBorder="1" applyAlignment="1">
      <alignment horizontal="center" vertical="center"/>
    </xf>
    <xf numFmtId="0" fontId="8" fillId="11" borderId="1" xfId="0" applyFont="1" applyFill="1" applyBorder="1" applyAlignment="1">
      <alignment horizontal="center" vertical="center"/>
    </xf>
    <xf numFmtId="49" fontId="8" fillId="11" borderId="1" xfId="0" applyNumberFormat="1" applyFont="1" applyFill="1" applyBorder="1" applyAlignment="1">
      <alignment horizontal="center" vertical="center" wrapText="1"/>
    </xf>
    <xf numFmtId="10" fontId="8" fillId="11" borderId="1" xfId="0" applyNumberFormat="1" applyFont="1" applyFill="1" applyBorder="1" applyAlignment="1">
      <alignment horizontal="center" vertical="center"/>
    </xf>
    <xf numFmtId="1" fontId="8" fillId="11" borderId="1" xfId="0" applyNumberFormat="1" applyFont="1" applyFill="1" applyBorder="1" applyAlignment="1">
      <alignment horizontal="center" vertical="center"/>
    </xf>
    <xf numFmtId="0" fontId="8" fillId="11" borderId="1" xfId="0" applyFont="1" applyFill="1" applyBorder="1" applyAlignment="1">
      <alignment horizontal="center" vertical="center" wrapText="1"/>
    </xf>
    <xf numFmtId="0" fontId="9" fillId="11" borderId="1" xfId="0" applyFont="1" applyFill="1" applyBorder="1" applyAlignment="1">
      <alignment horizontal="center" vertical="center"/>
    </xf>
    <xf numFmtId="10" fontId="9" fillId="11" borderId="1" xfId="0" applyNumberFormat="1" applyFont="1" applyFill="1" applyBorder="1" applyAlignment="1">
      <alignment horizontal="center" vertical="center"/>
    </xf>
    <xf numFmtId="1" fontId="9" fillId="11" borderId="1" xfId="0" applyNumberFormat="1" applyFont="1" applyFill="1" applyBorder="1" applyAlignment="1">
      <alignment horizontal="center" vertical="center"/>
    </xf>
    <xf numFmtId="49" fontId="9" fillId="11" borderId="1" xfId="0" applyNumberFormat="1" applyFont="1" applyFill="1" applyBorder="1" applyAlignment="1">
      <alignment horizontal="center" vertical="center" wrapText="1"/>
    </xf>
    <xf numFmtId="0" fontId="9" fillId="11" borderId="1" xfId="0" applyFont="1" applyFill="1" applyBorder="1" applyAlignment="1">
      <alignment horizontal="center" vertical="center" wrapText="1"/>
    </xf>
    <xf numFmtId="49" fontId="11" fillId="11" borderId="1" xfId="0" applyNumberFormat="1" applyFont="1" applyFill="1" applyBorder="1" applyAlignment="1">
      <alignment horizontal="center" vertical="center" wrapText="1" readingOrder="1"/>
    </xf>
    <xf numFmtId="0" fontId="17" fillId="11" borderId="4" xfId="0" applyFont="1" applyFill="1" applyBorder="1" applyAlignment="1">
      <alignment horizontal="center" vertical="center"/>
    </xf>
    <xf numFmtId="0" fontId="1" fillId="11" borderId="2" xfId="0" applyFont="1" applyFill="1" applyBorder="1" applyAlignment="1">
      <alignment horizontal="center" vertical="center"/>
    </xf>
    <xf numFmtId="0" fontId="1" fillId="11" borderId="2" xfId="0" applyFont="1" applyFill="1" applyBorder="1"/>
    <xf numFmtId="0" fontId="27" fillId="0" borderId="0" xfId="0" applyFont="1"/>
    <xf numFmtId="0" fontId="28" fillId="0" borderId="2" xfId="0" applyFont="1" applyBorder="1" applyAlignment="1">
      <alignment horizontal="center" vertical="center"/>
    </xf>
    <xf numFmtId="9" fontId="0" fillId="0" borderId="2" xfId="0" applyNumberFormat="1" applyBorder="1" applyAlignment="1">
      <alignment horizontal="center" vertical="center"/>
    </xf>
    <xf numFmtId="0" fontId="27" fillId="0" borderId="2" xfId="0" applyFont="1" applyBorder="1"/>
    <xf numFmtId="0" fontId="0" fillId="0" borderId="3" xfId="0" applyBorder="1"/>
    <xf numFmtId="0" fontId="27" fillId="12" borderId="2" xfId="0" applyFont="1" applyFill="1" applyBorder="1" applyAlignment="1">
      <alignment wrapText="1"/>
    </xf>
    <xf numFmtId="0" fontId="27" fillId="9" borderId="2" xfId="0" applyFont="1" applyFill="1" applyBorder="1" applyAlignment="1">
      <alignment wrapText="1"/>
    </xf>
    <xf numFmtId="0" fontId="0" fillId="0" borderId="0" xfId="0" applyAlignment="1">
      <alignment horizontal="left" vertical="top"/>
    </xf>
    <xf numFmtId="0" fontId="0" fillId="0" borderId="2" xfId="0" applyBorder="1" applyAlignment="1">
      <alignment horizontal="left" vertical="top" wrapText="1"/>
    </xf>
    <xf numFmtId="0" fontId="0" fillId="0" borderId="2" xfId="0" applyBorder="1" applyAlignment="1">
      <alignment horizontal="left" vertical="top"/>
    </xf>
    <xf numFmtId="0" fontId="0" fillId="0" borderId="3" xfId="0" applyBorder="1" applyAlignment="1">
      <alignment horizontal="left" vertical="top"/>
    </xf>
    <xf numFmtId="0" fontId="1" fillId="0" borderId="2" xfId="0" applyFont="1" applyBorder="1" applyAlignment="1">
      <alignment horizontal="left" vertical="top" wrapText="1"/>
    </xf>
    <xf numFmtId="0" fontId="0" fillId="11" borderId="2" xfId="0" applyFill="1" applyBorder="1"/>
    <xf numFmtId="0" fontId="29" fillId="0" borderId="0" xfId="0" applyFont="1"/>
    <xf numFmtId="0" fontId="0" fillId="11" borderId="0" xfId="0" applyFill="1"/>
    <xf numFmtId="0" fontId="1" fillId="13" borderId="2" xfId="0" applyFont="1" applyFill="1" applyBorder="1"/>
    <xf numFmtId="0" fontId="30" fillId="13" borderId="2" xfId="0" applyFont="1" applyFill="1" applyBorder="1"/>
    <xf numFmtId="49" fontId="12" fillId="0" borderId="2" xfId="0" applyNumberFormat="1" applyFont="1" applyBorder="1" applyAlignment="1">
      <alignment horizontal="center" vertical="center" wrapText="1"/>
    </xf>
    <xf numFmtId="0" fontId="12" fillId="0" borderId="2" xfId="0" applyFont="1" applyBorder="1" applyAlignment="1">
      <alignment horizontal="center" vertical="center" wrapText="1"/>
    </xf>
    <xf numFmtId="0" fontId="8" fillId="0" borderId="14" xfId="0" applyFont="1" applyBorder="1" applyAlignment="1">
      <alignment horizontal="center" vertical="center"/>
    </xf>
    <xf numFmtId="0" fontId="9" fillId="0" borderId="6" xfId="0" applyFont="1" applyBorder="1" applyAlignment="1">
      <alignment horizontal="center" vertical="center" wrapText="1"/>
    </xf>
    <xf numFmtId="0" fontId="8" fillId="0" borderId="8" xfId="0" applyFont="1" applyBorder="1" applyAlignment="1">
      <alignment horizontal="center" vertical="center" wrapText="1"/>
    </xf>
    <xf numFmtId="0" fontId="9" fillId="0" borderId="8" xfId="0" applyFont="1" applyBorder="1" applyAlignment="1">
      <alignment horizontal="center" vertical="center"/>
    </xf>
    <xf numFmtId="0" fontId="9" fillId="0" borderId="8" xfId="0" applyFont="1" applyBorder="1" applyAlignment="1">
      <alignment horizontal="center" vertical="center" wrapText="1"/>
    </xf>
    <xf numFmtId="0" fontId="12" fillId="0" borderId="2" xfId="0" applyFont="1" applyBorder="1" applyAlignment="1">
      <alignment horizontal="center" vertical="center"/>
    </xf>
    <xf numFmtId="10" fontId="12" fillId="0" borderId="2" xfId="0" applyNumberFormat="1" applyFont="1" applyBorder="1" applyAlignment="1">
      <alignment horizontal="center" vertical="center"/>
    </xf>
    <xf numFmtId="1" fontId="12" fillId="0" borderId="2" xfId="0" applyNumberFormat="1" applyFont="1" applyBorder="1" applyAlignment="1">
      <alignment horizontal="center" vertical="center"/>
    </xf>
    <xf numFmtId="0" fontId="12" fillId="2" borderId="2" xfId="0" applyFont="1" applyFill="1" applyBorder="1" applyAlignment="1">
      <alignment horizontal="center" vertical="center" wrapText="1"/>
    </xf>
    <xf numFmtId="0" fontId="12" fillId="2" borderId="2" xfId="0" applyFont="1" applyFill="1" applyBorder="1" applyAlignment="1">
      <alignment horizontal="center" vertical="center"/>
    </xf>
    <xf numFmtId="49" fontId="8" fillId="0" borderId="0" xfId="0" applyNumberFormat="1" applyFont="1" applyAlignment="1">
      <alignment horizontal="center" vertical="center" wrapText="1"/>
    </xf>
    <xf numFmtId="0" fontId="9" fillId="0" borderId="0" xfId="0" applyFont="1" applyAlignment="1">
      <alignment horizontal="center" vertical="center"/>
    </xf>
    <xf numFmtId="10" fontId="9" fillId="0" borderId="0" xfId="0" applyNumberFormat="1" applyFont="1" applyAlignment="1">
      <alignment horizontal="center" vertical="center"/>
    </xf>
    <xf numFmtId="1" fontId="9" fillId="0" borderId="0" xfId="0" applyNumberFormat="1" applyFont="1" applyAlignment="1">
      <alignment horizontal="center" vertical="center"/>
    </xf>
    <xf numFmtId="49" fontId="9" fillId="0" borderId="0" xfId="0" applyNumberFormat="1" applyFont="1" applyAlignment="1">
      <alignment horizontal="center" vertical="center" wrapText="1"/>
    </xf>
    <xf numFmtId="0" fontId="8" fillId="0" borderId="2" xfId="0" applyFont="1" applyBorder="1" applyAlignment="1">
      <alignment horizontal="center" vertical="center"/>
    </xf>
    <xf numFmtId="0" fontId="9" fillId="0" borderId="2" xfId="0" applyFont="1" applyBorder="1" applyAlignment="1">
      <alignment horizontal="center" vertical="center"/>
    </xf>
    <xf numFmtId="10" fontId="9" fillId="0" borderId="2" xfId="0" applyNumberFormat="1" applyFont="1" applyBorder="1" applyAlignment="1">
      <alignment horizontal="center" vertical="center"/>
    </xf>
    <xf numFmtId="1" fontId="9" fillId="0" borderId="2" xfId="0" applyNumberFormat="1" applyFont="1" applyBorder="1" applyAlignment="1">
      <alignment horizontal="center" vertical="center"/>
    </xf>
    <xf numFmtId="49" fontId="9" fillId="0" borderId="2" xfId="0" applyNumberFormat="1" applyFont="1" applyBorder="1" applyAlignment="1">
      <alignment horizontal="center" vertical="center" wrapText="1"/>
    </xf>
    <xf numFmtId="0" fontId="8" fillId="0" borderId="15" xfId="0" applyFont="1" applyBorder="1" applyAlignment="1">
      <alignment horizontal="center" vertical="center"/>
    </xf>
    <xf numFmtId="49" fontId="31" fillId="2" borderId="0" xfId="0" applyNumberFormat="1" applyFont="1" applyFill="1" applyAlignment="1">
      <alignment horizontal="center" vertical="center" wrapText="1"/>
    </xf>
    <xf numFmtId="0" fontId="31" fillId="2" borderId="0" xfId="0" applyFont="1" applyFill="1" applyAlignment="1">
      <alignment horizontal="center" vertical="center"/>
    </xf>
    <xf numFmtId="10" fontId="8" fillId="2" borderId="1" xfId="0" applyNumberFormat="1" applyFont="1" applyFill="1" applyBorder="1" applyAlignment="1">
      <alignment horizontal="center" vertical="center"/>
    </xf>
    <xf numFmtId="49" fontId="11" fillId="10" borderId="1" xfId="0" applyNumberFormat="1" applyFont="1" applyFill="1" applyBorder="1" applyAlignment="1">
      <alignment horizontal="center" vertical="center" wrapText="1"/>
    </xf>
    <xf numFmtId="0" fontId="8" fillId="10" borderId="1" xfId="0" applyFont="1" applyFill="1" applyBorder="1" applyAlignment="1">
      <alignment horizontal="center" vertical="center"/>
    </xf>
    <xf numFmtId="49" fontId="8" fillId="10" borderId="1" xfId="0" applyNumberFormat="1" applyFont="1" applyFill="1" applyBorder="1" applyAlignment="1">
      <alignment horizontal="center" vertical="center" wrapText="1"/>
    </xf>
    <xf numFmtId="0" fontId="9" fillId="10" borderId="1" xfId="0" applyFont="1" applyFill="1" applyBorder="1" applyAlignment="1">
      <alignment horizontal="center" vertical="center"/>
    </xf>
    <xf numFmtId="10" fontId="9" fillId="10" borderId="1" xfId="0" applyNumberFormat="1" applyFont="1" applyFill="1" applyBorder="1" applyAlignment="1">
      <alignment horizontal="center" vertical="center"/>
    </xf>
    <xf numFmtId="1" fontId="9" fillId="10" borderId="1" xfId="0" applyNumberFormat="1" applyFont="1" applyFill="1" applyBorder="1" applyAlignment="1">
      <alignment horizontal="center" vertical="center"/>
    </xf>
    <xf numFmtId="0" fontId="9" fillId="10" borderId="1" xfId="0" applyFont="1" applyFill="1" applyBorder="1" applyAlignment="1">
      <alignment horizontal="center" vertical="center" wrapText="1"/>
    </xf>
    <xf numFmtId="49" fontId="9" fillId="10" borderId="1" xfId="0" applyNumberFormat="1" applyFont="1" applyFill="1" applyBorder="1" applyAlignment="1">
      <alignment horizontal="center" vertical="center" wrapText="1"/>
    </xf>
    <xf numFmtId="0" fontId="12" fillId="10" borderId="1" xfId="0" applyFont="1" applyFill="1" applyBorder="1" applyAlignment="1">
      <alignment horizontal="center" vertical="center" readingOrder="1"/>
    </xf>
    <xf numFmtId="49" fontId="12" fillId="10" borderId="1" xfId="0" applyNumberFormat="1" applyFont="1" applyFill="1" applyBorder="1" applyAlignment="1">
      <alignment horizontal="center" vertical="center" wrapText="1" readingOrder="1"/>
    </xf>
    <xf numFmtId="0" fontId="13" fillId="10" borderId="1" xfId="0" applyFont="1" applyFill="1" applyBorder="1" applyAlignment="1">
      <alignment horizontal="center" vertical="center"/>
    </xf>
    <xf numFmtId="10" fontId="13" fillId="10" borderId="1" xfId="0" applyNumberFormat="1" applyFont="1" applyFill="1" applyBorder="1" applyAlignment="1">
      <alignment horizontal="center" vertical="center"/>
    </xf>
    <xf numFmtId="1" fontId="13" fillId="10" borderId="1" xfId="0" applyNumberFormat="1" applyFont="1" applyFill="1" applyBorder="1" applyAlignment="1">
      <alignment horizontal="center" vertical="center"/>
    </xf>
    <xf numFmtId="49" fontId="13" fillId="10" borderId="1" xfId="0" applyNumberFormat="1" applyFont="1" applyFill="1" applyBorder="1" applyAlignment="1">
      <alignment horizontal="center" vertical="center" wrapText="1"/>
    </xf>
    <xf numFmtId="0" fontId="13" fillId="10" borderId="1" xfId="0" applyFont="1" applyFill="1" applyBorder="1" applyAlignment="1">
      <alignment horizontal="center" vertical="center" wrapText="1"/>
    </xf>
    <xf numFmtId="0" fontId="12" fillId="10" borderId="1" xfId="0" applyFont="1" applyFill="1" applyBorder="1" applyAlignment="1">
      <alignment horizontal="center" vertical="center"/>
    </xf>
    <xf numFmtId="49" fontId="12" fillId="11" borderId="1" xfId="0" applyNumberFormat="1" applyFont="1" applyFill="1" applyBorder="1" applyAlignment="1">
      <alignment horizontal="center" vertical="center" wrapText="1"/>
    </xf>
    <xf numFmtId="49" fontId="13" fillId="11" borderId="1" xfId="0" applyNumberFormat="1" applyFont="1" applyFill="1" applyBorder="1" applyAlignment="1">
      <alignment horizontal="center" vertical="center" wrapText="1"/>
    </xf>
    <xf numFmtId="0" fontId="13" fillId="11" borderId="1" xfId="0" applyFont="1" applyFill="1" applyBorder="1" applyAlignment="1">
      <alignment horizontal="center" vertical="center" wrapText="1"/>
    </xf>
    <xf numFmtId="0" fontId="12" fillId="6" borderId="1" xfId="0" applyFont="1" applyFill="1" applyBorder="1" applyAlignment="1">
      <alignment horizontal="center" vertical="center"/>
    </xf>
    <xf numFmtId="49" fontId="12" fillId="6" borderId="1" xfId="0" applyNumberFormat="1" applyFont="1" applyFill="1" applyBorder="1" applyAlignment="1">
      <alignment horizontal="center" vertical="center" wrapText="1"/>
    </xf>
    <xf numFmtId="0" fontId="12" fillId="6" borderId="1" xfId="0" applyFont="1" applyFill="1" applyBorder="1" applyAlignment="1">
      <alignment horizontal="center" vertical="center" wrapText="1"/>
    </xf>
    <xf numFmtId="0" fontId="18" fillId="8" borderId="4" xfId="0" applyFont="1" applyFill="1" applyBorder="1" applyAlignment="1">
      <alignment horizontal="center" vertical="center"/>
    </xf>
    <xf numFmtId="0" fontId="1" fillId="8" borderId="2" xfId="0" applyFont="1" applyFill="1" applyBorder="1" applyAlignment="1">
      <alignment horizontal="center" vertical="center"/>
    </xf>
    <xf numFmtId="0" fontId="36" fillId="9" borderId="0" xfId="0" applyFont="1" applyFill="1" applyAlignment="1">
      <alignment wrapText="1"/>
    </xf>
    <xf numFmtId="0" fontId="18" fillId="11" borderId="4" xfId="0" applyFont="1" applyFill="1" applyBorder="1" applyAlignment="1">
      <alignment horizontal="center" vertical="center"/>
    </xf>
    <xf numFmtId="0" fontId="0" fillId="11" borderId="2" xfId="0" applyFill="1" applyBorder="1" applyAlignment="1">
      <alignment horizontal="center" vertical="center"/>
    </xf>
    <xf numFmtId="0" fontId="1" fillId="14" borderId="0" xfId="0" applyFont="1" applyFill="1"/>
    <xf numFmtId="0" fontId="0" fillId="0" borderId="0" xfId="0" applyAlignment="1">
      <alignment horizontal="center" vertical="center"/>
    </xf>
    <xf numFmtId="0" fontId="17" fillId="11" borderId="2" xfId="0" applyFont="1" applyFill="1" applyBorder="1" applyAlignment="1">
      <alignment horizontal="center" vertical="center"/>
    </xf>
    <xf numFmtId="0" fontId="37" fillId="0" borderId="13" xfId="0" applyFont="1" applyBorder="1" applyAlignment="1">
      <alignment horizontal="center" vertical="center" wrapText="1"/>
    </xf>
    <xf numFmtId="3" fontId="37" fillId="0" borderId="2" xfId="0" applyNumberFormat="1" applyFont="1" applyBorder="1" applyAlignment="1">
      <alignment horizontal="center" vertical="center" wrapText="1"/>
    </xf>
    <xf numFmtId="3" fontId="37" fillId="0" borderId="4" xfId="0" applyNumberFormat="1" applyFont="1" applyBorder="1" applyAlignment="1">
      <alignment horizontal="center" vertical="center" wrapText="1"/>
    </xf>
    <xf numFmtId="0" fontId="37" fillId="0" borderId="2" xfId="0" applyFont="1" applyBorder="1" applyAlignment="1">
      <alignment horizontal="center" vertical="center" wrapText="1"/>
    </xf>
    <xf numFmtId="0" fontId="37" fillId="0" borderId="4" xfId="0" applyFont="1" applyBorder="1" applyAlignment="1">
      <alignment horizontal="center" vertical="center" wrapText="1"/>
    </xf>
    <xf numFmtId="0" fontId="37" fillId="0" borderId="18" xfId="0" applyFont="1" applyBorder="1" applyAlignment="1">
      <alignment horizontal="center" vertical="center" wrapText="1"/>
    </xf>
    <xf numFmtId="0" fontId="37" fillId="0" borderId="3" xfId="0" applyFont="1" applyBorder="1" applyAlignment="1">
      <alignment horizontal="center" vertical="center" wrapText="1"/>
    </xf>
    <xf numFmtId="0" fontId="37" fillId="0" borderId="5" xfId="0" applyFont="1" applyBorder="1" applyAlignment="1">
      <alignment horizontal="center" vertical="center" wrapText="1"/>
    </xf>
    <xf numFmtId="0" fontId="37" fillId="2" borderId="13" xfId="0" applyFont="1" applyFill="1" applyBorder="1" applyAlignment="1">
      <alignment horizontal="center" vertical="center" wrapText="1"/>
    </xf>
    <xf numFmtId="0" fontId="37" fillId="2" borderId="2" xfId="0" applyFont="1" applyFill="1" applyBorder="1" applyAlignment="1">
      <alignment horizontal="center" vertical="center" wrapText="1"/>
    </xf>
    <xf numFmtId="0" fontId="37" fillId="2" borderId="4" xfId="0" applyFont="1" applyFill="1" applyBorder="1" applyAlignment="1">
      <alignment horizontal="center" vertical="center" wrapText="1"/>
    </xf>
    <xf numFmtId="0" fontId="38" fillId="2" borderId="13" xfId="0" applyFont="1" applyFill="1" applyBorder="1" applyAlignment="1">
      <alignment horizontal="center" vertical="center" wrapText="1"/>
    </xf>
    <xf numFmtId="0" fontId="38" fillId="2" borderId="2" xfId="0" applyFont="1" applyFill="1" applyBorder="1" applyAlignment="1">
      <alignment horizontal="center" vertical="center" wrapText="1"/>
    </xf>
    <xf numFmtId="0" fontId="38" fillId="2" borderId="4" xfId="0" applyFont="1" applyFill="1" applyBorder="1" applyAlignment="1">
      <alignment horizontal="center" vertical="center" wrapText="1"/>
    </xf>
    <xf numFmtId="3" fontId="37" fillId="2" borderId="2" xfId="0" applyNumberFormat="1" applyFont="1" applyFill="1" applyBorder="1" applyAlignment="1">
      <alignment horizontal="center" vertical="center" wrapText="1"/>
    </xf>
    <xf numFmtId="0" fontId="39" fillId="2" borderId="13" xfId="0" applyFont="1" applyFill="1" applyBorder="1" applyAlignment="1">
      <alignment horizontal="center" vertical="center" wrapText="1"/>
    </xf>
    <xf numFmtId="0" fontId="39" fillId="2" borderId="2" xfId="0" applyFont="1" applyFill="1" applyBorder="1" applyAlignment="1">
      <alignment horizontal="center" vertical="center" wrapText="1"/>
    </xf>
    <xf numFmtId="3" fontId="39" fillId="2" borderId="2" xfId="0" applyNumberFormat="1" applyFont="1" applyFill="1" applyBorder="1" applyAlignment="1">
      <alignment horizontal="center" vertical="center" wrapText="1"/>
    </xf>
    <xf numFmtId="0" fontId="39" fillId="2" borderId="4" xfId="0" applyFont="1" applyFill="1" applyBorder="1" applyAlignment="1">
      <alignment horizontal="center" vertical="center" wrapText="1"/>
    </xf>
    <xf numFmtId="0" fontId="1" fillId="0" borderId="17" xfId="0" applyFont="1" applyBorder="1" applyAlignment="1">
      <alignment horizontal="center" vertical="center" wrapText="1"/>
    </xf>
    <xf numFmtId="3" fontId="39" fillId="2" borderId="4" xfId="0" applyNumberFormat="1" applyFont="1" applyFill="1" applyBorder="1" applyAlignment="1">
      <alignment horizontal="center" vertical="center" wrapText="1"/>
    </xf>
    <xf numFmtId="0" fontId="1" fillId="0" borderId="2" xfId="0" applyFont="1" applyBorder="1" applyAlignment="1">
      <alignment horizontal="center" vertical="center"/>
    </xf>
    <xf numFmtId="3" fontId="39" fillId="0" borderId="2" xfId="0" applyNumberFormat="1" applyFont="1" applyBorder="1" applyAlignment="1">
      <alignment horizontal="center" vertical="center" wrapText="1"/>
    </xf>
    <xf numFmtId="0" fontId="39" fillId="0" borderId="2" xfId="0" applyFont="1" applyBorder="1" applyAlignment="1">
      <alignment horizontal="center" vertical="center" wrapText="1"/>
    </xf>
    <xf numFmtId="0" fontId="40" fillId="2" borderId="2" xfId="0" applyFont="1" applyFill="1" applyBorder="1" applyAlignment="1">
      <alignment horizontal="center" vertical="center" wrapText="1"/>
    </xf>
    <xf numFmtId="0" fontId="39" fillId="0" borderId="3" xfId="0" applyFont="1" applyBorder="1" applyAlignment="1">
      <alignment horizontal="center" vertical="center" wrapText="1"/>
    </xf>
    <xf numFmtId="0" fontId="37" fillId="10" borderId="13" xfId="0" applyFont="1" applyFill="1" applyBorder="1" applyAlignment="1">
      <alignment horizontal="center" vertical="center" wrapText="1"/>
    </xf>
    <xf numFmtId="4" fontId="39" fillId="10" borderId="2" xfId="0" applyNumberFormat="1" applyFont="1" applyFill="1" applyBorder="1" applyAlignment="1">
      <alignment horizontal="center" vertical="center" wrapText="1"/>
    </xf>
    <xf numFmtId="4" fontId="37" fillId="10" borderId="2" xfId="0" applyNumberFormat="1" applyFont="1" applyFill="1" applyBorder="1" applyAlignment="1">
      <alignment horizontal="center" vertical="center" wrapText="1"/>
    </xf>
    <xf numFmtId="4" fontId="37" fillId="10" borderId="4" xfId="0" applyNumberFormat="1" applyFont="1" applyFill="1" applyBorder="1" applyAlignment="1">
      <alignment horizontal="center" vertical="center" wrapText="1"/>
    </xf>
    <xf numFmtId="0" fontId="39" fillId="10" borderId="2" xfId="0" applyFont="1" applyFill="1" applyBorder="1" applyAlignment="1">
      <alignment horizontal="center" vertical="center" wrapText="1"/>
    </xf>
    <xf numFmtId="0" fontId="0" fillId="10" borderId="0" xfId="0" applyFill="1"/>
    <xf numFmtId="3" fontId="37" fillId="2" borderId="4" xfId="0" applyNumberFormat="1" applyFont="1" applyFill="1" applyBorder="1" applyAlignment="1">
      <alignment horizontal="center" vertical="center" wrapText="1"/>
    </xf>
    <xf numFmtId="0" fontId="0" fillId="2" borderId="0" xfId="0" applyFill="1"/>
    <xf numFmtId="0" fontId="41" fillId="0" borderId="1" xfId="0" applyFont="1" applyBorder="1" applyAlignment="1">
      <alignment horizontal="center" vertical="center" wrapText="1"/>
    </xf>
    <xf numFmtId="0" fontId="42" fillId="16" borderId="1" xfId="0" applyFont="1" applyFill="1" applyBorder="1" applyAlignment="1">
      <alignment horizontal="center" vertical="center" wrapText="1"/>
    </xf>
    <xf numFmtId="0" fontId="42" fillId="16" borderId="6" xfId="0" applyFont="1" applyFill="1" applyBorder="1" applyAlignment="1">
      <alignment horizontal="center" vertical="center" wrapText="1"/>
    </xf>
    <xf numFmtId="0" fontId="43" fillId="16" borderId="6" xfId="0" applyFont="1" applyFill="1" applyBorder="1" applyAlignment="1">
      <alignment horizontal="center" vertical="center" wrapText="1"/>
    </xf>
    <xf numFmtId="3" fontId="42" fillId="16" borderId="6" xfId="0" applyNumberFormat="1" applyFont="1" applyFill="1" applyBorder="1" applyAlignment="1">
      <alignment horizontal="center" vertical="center" wrapText="1"/>
    </xf>
    <xf numFmtId="0" fontId="42" fillId="16" borderId="20" xfId="0" applyFont="1" applyFill="1" applyBorder="1" applyAlignment="1">
      <alignment horizontal="center" vertical="center" wrapText="1"/>
    </xf>
    <xf numFmtId="0" fontId="41" fillId="17" borderId="8" xfId="0" applyFont="1" applyFill="1" applyBorder="1" applyAlignment="1">
      <alignment horizontal="center" vertical="center" wrapText="1"/>
    </xf>
    <xf numFmtId="0" fontId="41" fillId="17" borderId="12" xfId="0" applyFont="1" applyFill="1" applyBorder="1" applyAlignment="1">
      <alignment horizontal="center" vertical="center" wrapText="1"/>
    </xf>
    <xf numFmtId="3" fontId="41" fillId="17" borderId="12" xfId="0" applyNumberFormat="1" applyFont="1" applyFill="1" applyBorder="1" applyAlignment="1">
      <alignment horizontal="center" vertical="center" wrapText="1"/>
    </xf>
    <xf numFmtId="0" fontId="41" fillId="17" borderId="21" xfId="0" applyFont="1" applyFill="1" applyBorder="1" applyAlignment="1">
      <alignment horizontal="center" vertical="center" wrapText="1"/>
    </xf>
    <xf numFmtId="0" fontId="43" fillId="16" borderId="8" xfId="0" applyFont="1" applyFill="1" applyBorder="1" applyAlignment="1">
      <alignment horizontal="center" vertical="center" wrapText="1"/>
    </xf>
    <xf numFmtId="0" fontId="43" fillId="16" borderId="12" xfId="0" applyFont="1" applyFill="1" applyBorder="1" applyAlignment="1">
      <alignment horizontal="center" vertical="center" wrapText="1"/>
    </xf>
    <xf numFmtId="3" fontId="43" fillId="16" borderId="12" xfId="0" applyNumberFormat="1" applyFont="1" applyFill="1" applyBorder="1" applyAlignment="1">
      <alignment horizontal="center" vertical="center" wrapText="1"/>
    </xf>
    <xf numFmtId="0" fontId="43" fillId="16" borderId="21" xfId="0" applyFont="1" applyFill="1" applyBorder="1" applyAlignment="1">
      <alignment horizontal="center" vertical="center" wrapText="1"/>
    </xf>
    <xf numFmtId="0" fontId="42" fillId="16" borderId="8" xfId="0" applyFont="1" applyFill="1" applyBorder="1" applyAlignment="1">
      <alignment horizontal="center" vertical="center" wrapText="1"/>
    </xf>
    <xf numFmtId="0" fontId="42" fillId="16" borderId="12" xfId="0" applyFont="1" applyFill="1" applyBorder="1" applyAlignment="1">
      <alignment horizontal="center" vertical="center" wrapText="1"/>
    </xf>
    <xf numFmtId="3" fontId="42" fillId="16" borderId="12" xfId="0" applyNumberFormat="1" applyFont="1" applyFill="1" applyBorder="1" applyAlignment="1">
      <alignment horizontal="center" vertical="center" wrapText="1"/>
    </xf>
    <xf numFmtId="0" fontId="42" fillId="16" borderId="21" xfId="0" applyFont="1" applyFill="1" applyBorder="1" applyAlignment="1">
      <alignment horizontal="center" vertical="center" wrapText="1"/>
    </xf>
    <xf numFmtId="0" fontId="41" fillId="0" borderId="8" xfId="0" applyFont="1" applyBorder="1" applyAlignment="1">
      <alignment horizontal="center" vertical="center" wrapText="1"/>
    </xf>
    <xf numFmtId="0" fontId="41" fillId="0" borderId="12" xfId="0" applyFont="1" applyBorder="1" applyAlignment="1">
      <alignment horizontal="center" vertical="center" wrapText="1"/>
    </xf>
    <xf numFmtId="3" fontId="41" fillId="0" borderId="12" xfId="0" applyNumberFormat="1" applyFont="1" applyBorder="1" applyAlignment="1">
      <alignment horizontal="center" vertical="center" wrapText="1"/>
    </xf>
    <xf numFmtId="0" fontId="41" fillId="0" borderId="21" xfId="0" applyFont="1" applyBorder="1" applyAlignment="1">
      <alignment horizontal="center" vertical="center" wrapText="1"/>
    </xf>
    <xf numFmtId="0" fontId="41" fillId="17" borderId="11" xfId="0" applyFont="1" applyFill="1" applyBorder="1" applyAlignment="1">
      <alignment horizontal="center" vertical="center" wrapText="1"/>
    </xf>
    <xf numFmtId="0" fontId="41" fillId="17" borderId="16" xfId="0" applyFont="1" applyFill="1" applyBorder="1" applyAlignment="1">
      <alignment horizontal="center" vertical="center" wrapText="1"/>
    </xf>
    <xf numFmtId="3" fontId="41" fillId="17" borderId="16" xfId="0" applyNumberFormat="1" applyFont="1" applyFill="1" applyBorder="1" applyAlignment="1">
      <alignment horizontal="center" vertical="center" wrapText="1"/>
    </xf>
    <xf numFmtId="0" fontId="41" fillId="17" borderId="22" xfId="0" applyFont="1" applyFill="1" applyBorder="1" applyAlignment="1">
      <alignment horizontal="center" vertical="center" wrapText="1"/>
    </xf>
    <xf numFmtId="0" fontId="41" fillId="0" borderId="11" xfId="0" applyFont="1" applyBorder="1" applyAlignment="1">
      <alignment horizontal="center" vertical="center" wrapText="1"/>
    </xf>
    <xf numFmtId="0" fontId="41" fillId="0" borderId="16" xfId="0" applyFont="1" applyBorder="1" applyAlignment="1">
      <alignment horizontal="center" vertical="center" wrapText="1"/>
    </xf>
    <xf numFmtId="3" fontId="41" fillId="0" borderId="16" xfId="0" applyNumberFormat="1" applyFont="1" applyBorder="1" applyAlignment="1">
      <alignment horizontal="center" vertical="center" wrapText="1"/>
    </xf>
    <xf numFmtId="0" fontId="41" fillId="0" borderId="22" xfId="0" applyFont="1" applyBorder="1" applyAlignment="1">
      <alignment horizontal="center" vertical="center" wrapText="1"/>
    </xf>
    <xf numFmtId="0" fontId="41" fillId="0" borderId="8" xfId="0" applyFont="1" applyBorder="1" applyAlignment="1">
      <alignment horizontal="center" vertical="center"/>
    </xf>
    <xf numFmtId="0" fontId="42" fillId="16" borderId="8" xfId="0" applyFont="1" applyFill="1" applyBorder="1" applyAlignment="1">
      <alignment horizontal="center" vertical="center"/>
    </xf>
    <xf numFmtId="0" fontId="42" fillId="16" borderId="11" xfId="0" applyFont="1" applyFill="1" applyBorder="1" applyAlignment="1">
      <alignment horizontal="center" vertical="center" wrapText="1"/>
    </xf>
    <xf numFmtId="0" fontId="42" fillId="16" borderId="16" xfId="0" applyFont="1" applyFill="1" applyBorder="1" applyAlignment="1">
      <alignment horizontal="center" vertical="center" wrapText="1"/>
    </xf>
    <xf numFmtId="3" fontId="42" fillId="16" borderId="16" xfId="0" applyNumberFormat="1" applyFont="1" applyFill="1" applyBorder="1" applyAlignment="1">
      <alignment horizontal="center" vertical="center" wrapText="1"/>
    </xf>
    <xf numFmtId="0" fontId="42" fillId="16" borderId="22" xfId="0" applyFont="1" applyFill="1" applyBorder="1" applyAlignment="1">
      <alignment horizontal="center" vertical="center" wrapText="1"/>
    </xf>
    <xf numFmtId="0" fontId="43" fillId="16" borderId="11" xfId="0" applyFont="1" applyFill="1" applyBorder="1" applyAlignment="1">
      <alignment horizontal="center" vertical="center" wrapText="1"/>
    </xf>
    <xf numFmtId="0" fontId="43" fillId="16" borderId="16" xfId="0" applyFont="1" applyFill="1" applyBorder="1" applyAlignment="1">
      <alignment horizontal="center" vertical="center" wrapText="1"/>
    </xf>
    <xf numFmtId="3" fontId="43" fillId="16" borderId="16" xfId="0" applyNumberFormat="1" applyFont="1" applyFill="1" applyBorder="1" applyAlignment="1">
      <alignment horizontal="center" vertical="center" wrapText="1"/>
    </xf>
    <xf numFmtId="0" fontId="43" fillId="16" borderId="22" xfId="0" applyFont="1" applyFill="1" applyBorder="1" applyAlignment="1">
      <alignment horizontal="center" vertical="center" wrapText="1"/>
    </xf>
    <xf numFmtId="0" fontId="1" fillId="18" borderId="2" xfId="0" applyFont="1" applyFill="1" applyBorder="1" applyAlignment="1">
      <alignment horizontal="center" vertical="center"/>
    </xf>
    <xf numFmtId="0" fontId="12" fillId="2" borderId="1" xfId="0" applyFont="1" applyFill="1" applyBorder="1" applyAlignment="1">
      <alignment horizontal="center" vertical="center"/>
    </xf>
    <xf numFmtId="49" fontId="12" fillId="2" borderId="1" xfId="0" applyNumberFormat="1" applyFont="1" applyFill="1" applyBorder="1" applyAlignment="1">
      <alignment horizontal="center" vertical="center" wrapText="1"/>
    </xf>
    <xf numFmtId="10" fontId="12" fillId="2" borderId="1" xfId="0" applyNumberFormat="1" applyFont="1" applyFill="1" applyBorder="1" applyAlignment="1">
      <alignment horizontal="center" vertical="center"/>
    </xf>
    <xf numFmtId="1" fontId="12" fillId="2" borderId="1" xfId="0" applyNumberFormat="1" applyFont="1" applyFill="1" applyBorder="1" applyAlignment="1">
      <alignment horizontal="center" vertical="center"/>
    </xf>
    <xf numFmtId="0" fontId="12" fillId="2" borderId="1" xfId="0" applyFont="1" applyFill="1" applyBorder="1" applyAlignment="1">
      <alignment horizontal="center" vertical="center" wrapText="1"/>
    </xf>
    <xf numFmtId="0" fontId="0" fillId="4" borderId="12" xfId="0" applyFill="1" applyBorder="1" applyAlignment="1">
      <alignment horizontal="center" vertical="center"/>
    </xf>
    <xf numFmtId="0" fontId="0" fillId="5" borderId="6" xfId="0" applyFill="1" applyBorder="1" applyAlignment="1">
      <alignment horizontal="center" vertical="center"/>
    </xf>
    <xf numFmtId="0" fontId="0" fillId="4" borderId="3" xfId="0" applyFill="1" applyBorder="1" applyAlignment="1">
      <alignment horizontal="center" vertical="center" wrapText="1"/>
    </xf>
    <xf numFmtId="3" fontId="0" fillId="4" borderId="3" xfId="0" applyNumberFormat="1" applyFill="1" applyBorder="1" applyAlignment="1">
      <alignment horizontal="center" vertical="center" wrapText="1"/>
    </xf>
    <xf numFmtId="3" fontId="2" fillId="4" borderId="3" xfId="0" applyNumberFormat="1" applyFont="1" applyFill="1" applyBorder="1" applyAlignment="1">
      <alignment horizontal="center" vertical="center" wrapText="1"/>
    </xf>
    <xf numFmtId="0" fontId="44" fillId="9" borderId="2" xfId="0" applyFont="1" applyFill="1" applyBorder="1" applyAlignment="1">
      <alignment horizontal="center" vertical="center"/>
    </xf>
    <xf numFmtId="49" fontId="20" fillId="6" borderId="2" xfId="0" applyNumberFormat="1" applyFont="1" applyFill="1" applyBorder="1" applyAlignment="1">
      <alignment horizontal="center" vertical="center" wrapText="1"/>
    </xf>
    <xf numFmtId="0" fontId="21" fillId="6" borderId="2" xfId="0" applyFont="1" applyFill="1" applyBorder="1" applyAlignment="1">
      <alignment horizontal="center" vertical="center"/>
    </xf>
    <xf numFmtId="0" fontId="22" fillId="6" borderId="4" xfId="0" applyFont="1" applyFill="1" applyBorder="1" applyAlignment="1">
      <alignment horizontal="center" vertical="center"/>
    </xf>
    <xf numFmtId="0" fontId="45" fillId="6" borderId="2" xfId="0" applyFont="1" applyFill="1" applyBorder="1" applyAlignment="1">
      <alignment horizontal="center" vertical="center"/>
    </xf>
    <xf numFmtId="0" fontId="18" fillId="6" borderId="4" xfId="0" applyFont="1" applyFill="1" applyBorder="1" applyAlignment="1">
      <alignment horizontal="center" vertical="center"/>
    </xf>
    <xf numFmtId="0" fontId="8" fillId="19" borderId="1" xfId="0" applyFont="1" applyFill="1" applyBorder="1" applyAlignment="1">
      <alignment horizontal="center" vertical="center"/>
    </xf>
    <xf numFmtId="49" fontId="8" fillId="19" borderId="1" xfId="0" applyNumberFormat="1" applyFont="1" applyFill="1" applyBorder="1" applyAlignment="1">
      <alignment horizontal="center" vertical="center" wrapText="1"/>
    </xf>
    <xf numFmtId="10" fontId="8" fillId="19" borderId="1" xfId="0" applyNumberFormat="1" applyFont="1" applyFill="1" applyBorder="1" applyAlignment="1">
      <alignment horizontal="center" vertical="center"/>
    </xf>
    <xf numFmtId="1" fontId="8" fillId="19" borderId="1" xfId="0" applyNumberFormat="1" applyFont="1" applyFill="1" applyBorder="1" applyAlignment="1">
      <alignment horizontal="center" vertical="center"/>
    </xf>
    <xf numFmtId="0" fontId="9" fillId="19" borderId="1" xfId="0" applyFont="1" applyFill="1" applyBorder="1" applyAlignment="1">
      <alignment horizontal="center" vertical="center"/>
    </xf>
    <xf numFmtId="0" fontId="8" fillId="19" borderId="1" xfId="0" applyFont="1" applyFill="1" applyBorder="1" applyAlignment="1">
      <alignment horizontal="center" vertical="center" wrapText="1"/>
    </xf>
    <xf numFmtId="49" fontId="13" fillId="0" borderId="1" xfId="0" applyNumberFormat="1" applyFont="1" applyBorder="1" applyAlignment="1">
      <alignment horizontal="center" vertical="center" wrapText="1"/>
    </xf>
    <xf numFmtId="0" fontId="8" fillId="7" borderId="1" xfId="0" applyFont="1" applyFill="1" applyBorder="1" applyAlignment="1">
      <alignment horizontal="center" vertical="center"/>
    </xf>
    <xf numFmtId="49" fontId="11" fillId="2" borderId="1" xfId="0" applyNumberFormat="1" applyFont="1" applyFill="1" applyBorder="1" applyAlignment="1">
      <alignment horizontal="left" vertical="top" wrapText="1"/>
    </xf>
    <xf numFmtId="0" fontId="10" fillId="0" borderId="1" xfId="0" applyFont="1" applyBorder="1" applyAlignment="1">
      <alignment horizontal="left" vertical="top" wrapText="1"/>
    </xf>
    <xf numFmtId="0" fontId="11" fillId="6" borderId="1" xfId="0" applyFont="1" applyFill="1" applyBorder="1" applyAlignment="1">
      <alignment horizontal="left" vertical="top" wrapText="1"/>
    </xf>
    <xf numFmtId="0" fontId="10" fillId="6" borderId="1" xfId="0" applyFont="1" applyFill="1" applyBorder="1" applyAlignment="1">
      <alignment horizontal="left" vertical="top" wrapText="1"/>
    </xf>
    <xf numFmtId="0" fontId="10" fillId="11" borderId="1" xfId="0" applyFont="1" applyFill="1" applyBorder="1" applyAlignment="1">
      <alignment horizontal="left" vertical="top" wrapText="1"/>
    </xf>
    <xf numFmtId="0" fontId="11" fillId="0" borderId="1" xfId="0" applyFont="1" applyBorder="1" applyAlignment="1">
      <alignment horizontal="left" vertical="top" wrapText="1"/>
    </xf>
    <xf numFmtId="0" fontId="11" fillId="11" borderId="1" xfId="0" applyFont="1" applyFill="1" applyBorder="1" applyAlignment="1">
      <alignment horizontal="left" vertical="top" wrapText="1"/>
    </xf>
    <xf numFmtId="0" fontId="11" fillId="8" borderId="1" xfId="0" applyFont="1" applyFill="1" applyBorder="1" applyAlignment="1">
      <alignment horizontal="left" vertical="top" wrapText="1"/>
    </xf>
    <xf numFmtId="0" fontId="11" fillId="2" borderId="1" xfId="0" applyFont="1" applyFill="1" applyBorder="1" applyAlignment="1">
      <alignment horizontal="left" vertical="top" wrapText="1"/>
    </xf>
    <xf numFmtId="49" fontId="11" fillId="6" borderId="1" xfId="0" applyNumberFormat="1" applyFont="1" applyFill="1" applyBorder="1" applyAlignment="1">
      <alignment horizontal="left" vertical="top" wrapText="1"/>
    </xf>
    <xf numFmtId="0" fontId="9" fillId="11" borderId="1" xfId="0" applyFont="1" applyFill="1" applyBorder="1" applyAlignment="1">
      <alignment horizontal="left" vertical="top" wrapText="1"/>
    </xf>
    <xf numFmtId="49" fontId="8" fillId="6" borderId="1" xfId="0" applyNumberFormat="1" applyFont="1" applyFill="1" applyBorder="1" applyAlignment="1">
      <alignment horizontal="left" vertical="top" wrapText="1"/>
    </xf>
    <xf numFmtId="0" fontId="11" fillId="10" borderId="1" xfId="0" applyFont="1" applyFill="1" applyBorder="1" applyAlignment="1">
      <alignment horizontal="left" vertical="top" wrapText="1"/>
    </xf>
    <xf numFmtId="0" fontId="8" fillId="7" borderId="1" xfId="0" applyFont="1" applyFill="1" applyBorder="1" applyAlignment="1">
      <alignment horizontal="center" vertical="center" wrapText="1"/>
    </xf>
    <xf numFmtId="0" fontId="1" fillId="2" borderId="23" xfId="0" applyFont="1" applyFill="1" applyBorder="1" applyAlignment="1">
      <alignment horizontal="center" vertical="center"/>
    </xf>
    <xf numFmtId="49" fontId="11" fillId="20" borderId="1" xfId="0" applyNumberFormat="1" applyFont="1" applyFill="1" applyBorder="1" applyAlignment="1">
      <alignment horizontal="center" vertical="center" wrapText="1"/>
    </xf>
    <xf numFmtId="0" fontId="11" fillId="20" borderId="1" xfId="0" applyFont="1" applyFill="1" applyBorder="1" applyAlignment="1">
      <alignment horizontal="left" vertical="top" wrapText="1"/>
    </xf>
    <xf numFmtId="0" fontId="0" fillId="0" borderId="1" xfId="0" applyBorder="1"/>
    <xf numFmtId="0" fontId="0" fillId="0" borderId="1" xfId="0" applyBorder="1" applyAlignment="1">
      <alignment horizontal="center" vertical="center" wrapText="1"/>
    </xf>
    <xf numFmtId="0" fontId="0" fillId="0" borderId="1" xfId="0" applyBorder="1" applyAlignment="1">
      <alignment wrapText="1"/>
    </xf>
    <xf numFmtId="0" fontId="10" fillId="0" borderId="1" xfId="0" applyFont="1" applyBorder="1" applyAlignment="1">
      <alignment horizontal="center" vertical="center"/>
    </xf>
    <xf numFmtId="9" fontId="10" fillId="0" borderId="1" xfId="0" applyNumberFormat="1" applyFont="1" applyBorder="1" applyAlignment="1">
      <alignment horizontal="center" vertical="center"/>
    </xf>
    <xf numFmtId="0" fontId="10" fillId="0" borderId="1" xfId="0" applyFont="1" applyBorder="1" applyAlignment="1">
      <alignment horizontal="center"/>
    </xf>
    <xf numFmtId="0" fontId="10" fillId="0" borderId="1" xfId="0" applyFont="1" applyBorder="1" applyAlignment="1">
      <alignment horizontal="center" wrapText="1"/>
    </xf>
    <xf numFmtId="0" fontId="10" fillId="0" borderId="1" xfId="0" applyFont="1" applyBorder="1" applyAlignment="1">
      <alignment wrapText="1"/>
    </xf>
    <xf numFmtId="0" fontId="10" fillId="0" borderId="1" xfId="0" applyFont="1" applyBorder="1"/>
    <xf numFmtId="2" fontId="10" fillId="0" borderId="1" xfId="0" applyNumberFormat="1" applyFont="1" applyBorder="1" applyAlignment="1">
      <alignment horizontal="center" wrapText="1"/>
    </xf>
    <xf numFmtId="1" fontId="0" fillId="20" borderId="1" xfId="0" applyNumberFormat="1" applyFill="1" applyBorder="1"/>
    <xf numFmtId="0" fontId="11" fillId="2" borderId="1" xfId="0" applyFont="1" applyFill="1" applyBorder="1"/>
    <xf numFmtId="0" fontId="11" fillId="2" borderId="1" xfId="0" applyFont="1" applyFill="1" applyBorder="1" applyAlignment="1">
      <alignment wrapText="1"/>
    </xf>
    <xf numFmtId="0" fontId="11" fillId="2" borderId="1" xfId="0" applyFont="1" applyFill="1" applyBorder="1" applyAlignment="1">
      <alignment horizontal="center"/>
    </xf>
    <xf numFmtId="0" fontId="1" fillId="2" borderId="1" xfId="0" applyFont="1" applyFill="1" applyBorder="1"/>
    <xf numFmtId="0" fontId="10" fillId="3" borderId="1" xfId="0" applyFont="1" applyFill="1" applyBorder="1" applyAlignment="1">
      <alignment horizontal="center" vertical="center"/>
    </xf>
    <xf numFmtId="2" fontId="0" fillId="0" borderId="1" xfId="0" applyNumberFormat="1" applyBorder="1" applyAlignment="1">
      <alignment horizontal="center" vertical="center" wrapText="1"/>
    </xf>
    <xf numFmtId="2" fontId="1" fillId="2" borderId="1" xfId="0" applyNumberFormat="1" applyFont="1" applyFill="1" applyBorder="1" applyAlignment="1">
      <alignment horizontal="center" vertical="center"/>
    </xf>
    <xf numFmtId="0" fontId="1" fillId="21" borderId="1" xfId="0" applyFont="1" applyFill="1" applyBorder="1" applyAlignment="1">
      <alignment horizontal="center" vertical="center"/>
    </xf>
    <xf numFmtId="2" fontId="0" fillId="0" borderId="1" xfId="0" applyNumberFormat="1" applyBorder="1" applyAlignment="1">
      <alignment horizontal="center" vertical="center"/>
    </xf>
    <xf numFmtId="2" fontId="0" fillId="0" borderId="0" xfId="0" applyNumberFormat="1" applyAlignment="1">
      <alignment horizontal="center" vertical="center"/>
    </xf>
    <xf numFmtId="0" fontId="10" fillId="21" borderId="1" xfId="0" applyFont="1" applyFill="1" applyBorder="1" applyAlignment="1">
      <alignment horizontal="center" vertical="center" wrapText="1"/>
    </xf>
    <xf numFmtId="0" fontId="1" fillId="10" borderId="1" xfId="0" applyFont="1" applyFill="1" applyBorder="1" applyAlignment="1">
      <alignment horizontal="center" vertical="center"/>
    </xf>
    <xf numFmtId="2" fontId="1" fillId="10" borderId="1" xfId="0" applyNumberFormat="1" applyFont="1" applyFill="1" applyBorder="1" applyAlignment="1">
      <alignment horizontal="center" vertical="center"/>
    </xf>
    <xf numFmtId="0" fontId="0" fillId="0" borderId="0" xfId="0" pivotButton="1"/>
    <xf numFmtId="0" fontId="0" fillId="0" borderId="1" xfId="0" pivotButton="1" applyBorder="1"/>
    <xf numFmtId="0" fontId="0" fillId="10" borderId="1" xfId="0" applyFill="1" applyBorder="1" applyAlignment="1">
      <alignment horizontal="center" vertical="center"/>
    </xf>
    <xf numFmtId="0" fontId="0" fillId="0" borderId="1" xfId="0" applyBorder="1" applyAlignment="1">
      <alignment horizontal="left"/>
    </xf>
    <xf numFmtId="10" fontId="0" fillId="0" borderId="1" xfId="0" applyNumberFormat="1" applyBorder="1"/>
    <xf numFmtId="0" fontId="1" fillId="3" borderId="1" xfId="0" applyFont="1" applyFill="1" applyBorder="1" applyAlignment="1">
      <alignment horizontal="center" vertical="center"/>
    </xf>
    <xf numFmtId="0" fontId="1" fillId="2" borderId="14" xfId="0" applyFont="1" applyFill="1" applyBorder="1" applyAlignment="1">
      <alignment horizontal="center" vertical="center" wrapText="1"/>
    </xf>
    <xf numFmtId="0" fontId="0" fillId="0" borderId="14" xfId="0" applyBorder="1" applyAlignment="1">
      <alignment wrapText="1"/>
    </xf>
    <xf numFmtId="0" fontId="4" fillId="0" borderId="14" xfId="0" applyFont="1" applyBorder="1" applyAlignment="1">
      <alignment horizontal="center" vertical="center" wrapText="1"/>
    </xf>
    <xf numFmtId="0" fontId="0" fillId="6" borderId="14" xfId="0" applyFill="1" applyBorder="1" applyAlignment="1">
      <alignment wrapText="1"/>
    </xf>
    <xf numFmtId="49" fontId="52" fillId="0" borderId="1" xfId="0" applyNumberFormat="1" applyFont="1" applyBorder="1" applyAlignment="1">
      <alignment horizontal="center" vertical="center" wrapText="1"/>
    </xf>
    <xf numFmtId="49" fontId="8" fillId="2" borderId="1" xfId="0" applyNumberFormat="1" applyFont="1" applyFill="1" applyBorder="1" applyAlignment="1">
      <alignment horizontal="left" vertical="top" wrapText="1"/>
    </xf>
    <xf numFmtId="0" fontId="9" fillId="0" borderId="1" xfId="0" applyFont="1" applyBorder="1" applyAlignment="1">
      <alignment horizontal="left" vertical="top" wrapText="1"/>
    </xf>
    <xf numFmtId="49" fontId="9" fillId="0" borderId="1" xfId="0" applyNumberFormat="1" applyFont="1" applyBorder="1" applyAlignment="1">
      <alignment horizontal="left" vertical="top" wrapText="1" readingOrder="1"/>
    </xf>
    <xf numFmtId="49" fontId="12" fillId="0" borderId="1" xfId="0" applyNumberFormat="1" applyFont="1" applyBorder="1" applyAlignment="1">
      <alignment horizontal="left" vertical="top" wrapText="1" readingOrder="1"/>
    </xf>
    <xf numFmtId="49" fontId="9" fillId="6" borderId="1" xfId="0" applyNumberFormat="1" applyFont="1" applyFill="1" applyBorder="1" applyAlignment="1">
      <alignment horizontal="left" vertical="top" wrapText="1" readingOrder="1"/>
    </xf>
    <xf numFmtId="49" fontId="9" fillId="0" borderId="1" xfId="0" applyNumberFormat="1" applyFont="1" applyBorder="1" applyAlignment="1">
      <alignment horizontal="left" vertical="top" wrapText="1"/>
    </xf>
    <xf numFmtId="0" fontId="8" fillId="6" borderId="1" xfId="0" applyFont="1" applyFill="1" applyBorder="1" applyAlignment="1">
      <alignment horizontal="left" vertical="top" wrapText="1"/>
    </xf>
    <xf numFmtId="0" fontId="12" fillId="0" borderId="1" xfId="0" applyFont="1" applyBorder="1" applyAlignment="1">
      <alignment horizontal="left" vertical="top" wrapText="1"/>
    </xf>
    <xf numFmtId="0" fontId="52" fillId="0" borderId="1" xfId="0" applyFont="1" applyBorder="1" applyAlignment="1">
      <alignment horizontal="left" vertical="top" wrapText="1"/>
    </xf>
    <xf numFmtId="49" fontId="8" fillId="11" borderId="1" xfId="0" applyNumberFormat="1" applyFont="1" applyFill="1" applyBorder="1" applyAlignment="1">
      <alignment horizontal="left" vertical="top" wrapText="1" readingOrder="1"/>
    </xf>
    <xf numFmtId="0" fontId="8" fillId="11" borderId="1" xfId="0" applyFont="1" applyFill="1" applyBorder="1" applyAlignment="1">
      <alignment horizontal="left" vertical="top" wrapText="1"/>
    </xf>
    <xf numFmtId="0" fontId="8" fillId="0" borderId="1" xfId="0" applyFont="1" applyBorder="1" applyAlignment="1">
      <alignment horizontal="left" vertical="top" wrapText="1"/>
    </xf>
    <xf numFmtId="49" fontId="12" fillId="6" borderId="1" xfId="0" applyNumberFormat="1" applyFont="1" applyFill="1" applyBorder="1" applyAlignment="1">
      <alignment horizontal="left" vertical="top" wrapText="1"/>
    </xf>
    <xf numFmtId="0" fontId="12" fillId="6" borderId="1" xfId="0" applyFont="1" applyFill="1" applyBorder="1" applyAlignment="1">
      <alignment horizontal="left" vertical="top" wrapText="1"/>
    </xf>
    <xf numFmtId="0" fontId="1" fillId="11" borderId="0" xfId="0" applyFont="1" applyFill="1" applyAlignment="1">
      <alignment horizontal="left" vertical="top" wrapText="1"/>
    </xf>
    <xf numFmtId="0" fontId="13" fillId="0" borderId="1" xfId="0" applyFont="1" applyBorder="1" applyAlignment="1">
      <alignment horizontal="left" vertical="top" wrapText="1"/>
    </xf>
    <xf numFmtId="0" fontId="9" fillId="8" borderId="1" xfId="0" applyFont="1" applyFill="1" applyBorder="1" applyAlignment="1">
      <alignment horizontal="left" vertical="top" wrapText="1"/>
    </xf>
    <xf numFmtId="49" fontId="9" fillId="6" borderId="1" xfId="0" applyNumberFormat="1" applyFont="1" applyFill="1" applyBorder="1" applyAlignment="1">
      <alignment horizontal="left" vertical="top" wrapText="1"/>
    </xf>
    <xf numFmtId="0" fontId="9" fillId="10" borderId="1" xfId="0" applyFont="1" applyFill="1" applyBorder="1" applyAlignment="1">
      <alignment horizontal="left" vertical="top" wrapText="1"/>
    </xf>
    <xf numFmtId="0" fontId="9" fillId="6" borderId="1" xfId="0" applyFont="1" applyFill="1" applyBorder="1" applyAlignment="1">
      <alignment horizontal="left" vertical="top" wrapText="1"/>
    </xf>
    <xf numFmtId="0" fontId="1" fillId="0" borderId="0" xfId="0" applyFont="1" applyAlignment="1">
      <alignment horizontal="left" vertical="top" wrapText="1"/>
    </xf>
    <xf numFmtId="0" fontId="0" fillId="11" borderId="14" xfId="0" applyFill="1" applyBorder="1" applyAlignment="1">
      <alignment wrapText="1"/>
    </xf>
    <xf numFmtId="0" fontId="53" fillId="0" borderId="1" xfId="0" applyFont="1" applyBorder="1"/>
    <xf numFmtId="0" fontId="54" fillId="0" borderId="1" xfId="0" applyFont="1" applyBorder="1" applyAlignment="1">
      <alignment horizontal="center" vertical="center"/>
    </xf>
    <xf numFmtId="0" fontId="48" fillId="0" borderId="1" xfId="0" applyFont="1" applyBorder="1" applyAlignment="1">
      <alignment horizontal="center" vertical="center" wrapText="1"/>
    </xf>
    <xf numFmtId="0" fontId="51" fillId="0" borderId="1" xfId="0" applyFont="1" applyBorder="1" applyAlignment="1">
      <alignment horizontal="center" vertical="center" wrapText="1"/>
    </xf>
    <xf numFmtId="2" fontId="51" fillId="0" borderId="1" xfId="0" applyNumberFormat="1" applyFont="1" applyBorder="1" applyAlignment="1">
      <alignment horizontal="center" vertical="center" wrapText="1"/>
    </xf>
    <xf numFmtId="0" fontId="51" fillId="0" borderId="1" xfId="0" applyFont="1" applyBorder="1"/>
    <xf numFmtId="0" fontId="51" fillId="21" borderId="1" xfId="0" applyFont="1" applyFill="1" applyBorder="1" applyAlignment="1">
      <alignment horizontal="center" vertical="center"/>
    </xf>
    <xf numFmtId="2" fontId="51" fillId="0" borderId="1" xfId="0" applyNumberFormat="1" applyFont="1" applyBorder="1" applyAlignment="1">
      <alignment horizontal="center" vertical="center"/>
    </xf>
    <xf numFmtId="0" fontId="1" fillId="0" borderId="1" xfId="0" applyFont="1" applyBorder="1" applyAlignment="1">
      <alignment horizontal="center" vertical="center"/>
    </xf>
    <xf numFmtId="1" fontId="0" fillId="0" borderId="1" xfId="0" applyNumberFormat="1" applyBorder="1" applyAlignment="1">
      <alignment horizontal="center" vertical="center"/>
    </xf>
    <xf numFmtId="1" fontId="51" fillId="0" borderId="1" xfId="0" applyNumberFormat="1" applyFont="1" applyBorder="1" applyAlignment="1">
      <alignment horizontal="center" vertical="center"/>
    </xf>
    <xf numFmtId="0" fontId="54" fillId="0" borderId="1" xfId="0" applyFont="1" applyBorder="1"/>
    <xf numFmtId="10" fontId="8" fillId="10" borderId="1" xfId="0" applyNumberFormat="1" applyFont="1" applyFill="1" applyBorder="1" applyAlignment="1">
      <alignment horizontal="center" vertical="center"/>
    </xf>
    <xf numFmtId="1" fontId="8" fillId="10" borderId="1" xfId="0" applyNumberFormat="1" applyFont="1" applyFill="1" applyBorder="1" applyAlignment="1">
      <alignment horizontal="center" vertical="center"/>
    </xf>
    <xf numFmtId="0" fontId="8" fillId="10" borderId="1" xfId="0" applyFont="1" applyFill="1" applyBorder="1" applyAlignment="1">
      <alignment horizontal="center" vertical="center" wrapText="1"/>
    </xf>
    <xf numFmtId="0" fontId="8" fillId="10" borderId="1" xfId="0" applyFont="1" applyFill="1" applyBorder="1" applyAlignment="1">
      <alignment horizontal="left" vertical="top" wrapText="1"/>
    </xf>
    <xf numFmtId="0" fontId="1" fillId="19" borderId="1" xfId="0" applyFont="1" applyFill="1" applyBorder="1" applyAlignment="1">
      <alignment horizontal="left" vertical="top" wrapText="1"/>
    </xf>
    <xf numFmtId="49" fontId="12" fillId="10" borderId="1" xfId="0" applyNumberFormat="1" applyFont="1" applyFill="1" applyBorder="1" applyAlignment="1">
      <alignment horizontal="center" vertical="center" wrapText="1"/>
    </xf>
    <xf numFmtId="10" fontId="12" fillId="10" borderId="1" xfId="0" applyNumberFormat="1" applyFont="1" applyFill="1" applyBorder="1" applyAlignment="1">
      <alignment horizontal="center" vertical="center"/>
    </xf>
    <xf numFmtId="1" fontId="12" fillId="10" borderId="1" xfId="0" applyNumberFormat="1" applyFont="1" applyFill="1" applyBorder="1" applyAlignment="1">
      <alignment horizontal="center" vertical="center"/>
    </xf>
    <xf numFmtId="0" fontId="12" fillId="10" borderId="1" xfId="0" applyFont="1" applyFill="1" applyBorder="1" applyAlignment="1">
      <alignment horizontal="center" vertical="center" wrapText="1"/>
    </xf>
    <xf numFmtId="0" fontId="9" fillId="2" borderId="1" xfId="0" applyFont="1" applyFill="1" applyBorder="1" applyAlignment="1">
      <alignment horizontal="center" vertical="center"/>
    </xf>
    <xf numFmtId="10" fontId="9" fillId="2" borderId="1" xfId="0" applyNumberFormat="1" applyFont="1" applyFill="1" applyBorder="1" applyAlignment="1">
      <alignment horizontal="center" vertical="center"/>
    </xf>
    <xf numFmtId="1" fontId="9" fillId="2" borderId="1" xfId="0" applyNumberFormat="1" applyFont="1" applyFill="1" applyBorder="1" applyAlignment="1">
      <alignment horizontal="center" vertical="center"/>
    </xf>
    <xf numFmtId="49" fontId="9" fillId="2" borderId="1" xfId="0" applyNumberFormat="1" applyFont="1" applyFill="1" applyBorder="1" applyAlignment="1">
      <alignment horizontal="center" vertical="center" wrapText="1"/>
    </xf>
    <xf numFmtId="0" fontId="8" fillId="2" borderId="1" xfId="0" applyFont="1" applyFill="1" applyBorder="1" applyAlignment="1">
      <alignment horizontal="center" vertical="center"/>
    </xf>
    <xf numFmtId="1" fontId="8" fillId="2" borderId="1" xfId="0" applyNumberFormat="1" applyFont="1" applyFill="1" applyBorder="1" applyAlignment="1">
      <alignment horizontal="center" vertical="center"/>
    </xf>
    <xf numFmtId="0" fontId="8" fillId="2" borderId="1" xfId="0" applyFont="1" applyFill="1" applyBorder="1" applyAlignment="1">
      <alignment horizontal="left" vertical="top" wrapText="1"/>
    </xf>
    <xf numFmtId="49" fontId="9" fillId="2" borderId="1" xfId="0" applyNumberFormat="1" applyFont="1" applyFill="1" applyBorder="1" applyAlignment="1">
      <alignment horizontal="left" vertical="top" wrapText="1" readingOrder="1"/>
    </xf>
    <xf numFmtId="0" fontId="52" fillId="0" borderId="1" xfId="0" applyFont="1" applyBorder="1" applyAlignment="1">
      <alignment horizontal="center" vertical="center" wrapText="1"/>
    </xf>
    <xf numFmtId="10" fontId="52" fillId="0" borderId="1" xfId="0" applyNumberFormat="1" applyFont="1" applyBorder="1" applyAlignment="1">
      <alignment horizontal="center" vertical="center" wrapText="1"/>
    </xf>
    <xf numFmtId="1" fontId="52" fillId="0" borderId="1" xfId="0" applyNumberFormat="1" applyFont="1" applyBorder="1" applyAlignment="1">
      <alignment horizontal="center" vertical="center" wrapText="1"/>
    </xf>
    <xf numFmtId="0" fontId="12" fillId="11" borderId="1" xfId="0" applyFont="1" applyFill="1" applyBorder="1" applyAlignment="1">
      <alignment horizontal="center" vertical="center" wrapText="1"/>
    </xf>
    <xf numFmtId="10" fontId="13" fillId="11" borderId="1" xfId="0" applyNumberFormat="1" applyFont="1" applyFill="1" applyBorder="1" applyAlignment="1">
      <alignment horizontal="center" vertical="center" wrapText="1"/>
    </xf>
    <xf numFmtId="1" fontId="13" fillId="11" borderId="1" xfId="0" applyNumberFormat="1" applyFont="1" applyFill="1" applyBorder="1" applyAlignment="1">
      <alignment horizontal="center" vertical="center" wrapText="1"/>
    </xf>
    <xf numFmtId="10" fontId="8" fillId="11" borderId="1" xfId="0" applyNumberFormat="1" applyFont="1" applyFill="1" applyBorder="1" applyAlignment="1">
      <alignment horizontal="center" vertical="center" wrapText="1"/>
    </xf>
    <xf numFmtId="1" fontId="8" fillId="11" borderId="1" xfId="0" applyNumberFormat="1" applyFont="1" applyFill="1" applyBorder="1" applyAlignment="1">
      <alignment horizontal="center" vertical="center" wrapText="1"/>
    </xf>
    <xf numFmtId="10" fontId="8" fillId="0" borderId="1" xfId="0" applyNumberFormat="1" applyFont="1" applyBorder="1" applyAlignment="1">
      <alignment horizontal="center" vertical="center" wrapText="1"/>
    </xf>
    <xf numFmtId="1" fontId="8" fillId="0" borderId="1" xfId="0" applyNumberFormat="1" applyFont="1" applyBorder="1" applyAlignment="1">
      <alignment horizontal="center" vertical="center" wrapText="1"/>
    </xf>
    <xf numFmtId="10" fontId="12" fillId="6" borderId="1" xfId="0" applyNumberFormat="1" applyFont="1" applyFill="1" applyBorder="1" applyAlignment="1">
      <alignment horizontal="center" vertical="center" wrapText="1"/>
    </xf>
    <xf numFmtId="1" fontId="12" fillId="6" borderId="1" xfId="0" applyNumberFormat="1" applyFont="1" applyFill="1" applyBorder="1" applyAlignment="1">
      <alignment horizontal="center" vertical="center" wrapText="1"/>
    </xf>
    <xf numFmtId="10" fontId="9" fillId="0" borderId="1" xfId="0" applyNumberFormat="1" applyFont="1" applyBorder="1" applyAlignment="1">
      <alignment horizontal="center" vertical="center" wrapText="1"/>
    </xf>
    <xf numFmtId="1" fontId="9" fillId="0" borderId="1" xfId="0" applyNumberFormat="1" applyFont="1" applyBorder="1" applyAlignment="1">
      <alignment horizontal="center" vertical="center" wrapText="1"/>
    </xf>
    <xf numFmtId="10" fontId="8" fillId="10" borderId="1" xfId="0" applyNumberFormat="1" applyFont="1" applyFill="1" applyBorder="1" applyAlignment="1">
      <alignment horizontal="center" vertical="center" wrapText="1"/>
    </xf>
    <xf numFmtId="1" fontId="8" fillId="10" borderId="1" xfId="0" applyNumberFormat="1" applyFont="1" applyFill="1" applyBorder="1" applyAlignment="1">
      <alignment horizontal="center" vertical="center" wrapText="1"/>
    </xf>
    <xf numFmtId="0" fontId="55" fillId="13" borderId="0" xfId="0" applyFont="1" applyFill="1" applyAlignment="1">
      <alignment vertical="center"/>
    </xf>
    <xf numFmtId="49" fontId="8" fillId="13" borderId="1" xfId="0" applyNumberFormat="1" applyFont="1" applyFill="1" applyBorder="1" applyAlignment="1">
      <alignment horizontal="center" vertical="center" wrapText="1"/>
    </xf>
    <xf numFmtId="0" fontId="9" fillId="13" borderId="1" xfId="0" applyFont="1" applyFill="1" applyBorder="1" applyAlignment="1">
      <alignment horizontal="center" vertical="center"/>
    </xf>
    <xf numFmtId="10" fontId="9" fillId="13" borderId="1" xfId="0" applyNumberFormat="1" applyFont="1" applyFill="1" applyBorder="1" applyAlignment="1">
      <alignment horizontal="center" vertical="center"/>
    </xf>
    <xf numFmtId="1" fontId="9" fillId="13" borderId="1" xfId="0" applyNumberFormat="1" applyFont="1" applyFill="1" applyBorder="1" applyAlignment="1">
      <alignment horizontal="center" vertical="center"/>
    </xf>
    <xf numFmtId="49" fontId="9" fillId="13" borderId="1" xfId="0" applyNumberFormat="1" applyFont="1" applyFill="1" applyBorder="1" applyAlignment="1">
      <alignment horizontal="center" vertical="center" wrapText="1"/>
    </xf>
    <xf numFmtId="49" fontId="9" fillId="13" borderId="1" xfId="0" applyNumberFormat="1" applyFont="1" applyFill="1" applyBorder="1" applyAlignment="1">
      <alignment horizontal="left" vertical="top" wrapText="1" readingOrder="1"/>
    </xf>
    <xf numFmtId="0" fontId="8" fillId="13" borderId="1" xfId="0" applyFont="1" applyFill="1" applyBorder="1" applyAlignment="1">
      <alignment horizontal="center" vertical="center"/>
    </xf>
    <xf numFmtId="0" fontId="8" fillId="2" borderId="7" xfId="0" applyFont="1" applyFill="1" applyBorder="1" applyAlignment="1">
      <alignment horizontal="center" vertical="center"/>
    </xf>
    <xf numFmtId="49" fontId="8" fillId="2" borderId="7" xfId="0" applyNumberFormat="1" applyFont="1" applyFill="1" applyBorder="1" applyAlignment="1">
      <alignment horizontal="center" vertical="center" wrapText="1"/>
    </xf>
    <xf numFmtId="0" fontId="8" fillId="2" borderId="2" xfId="0" applyFont="1" applyFill="1" applyBorder="1" applyAlignment="1">
      <alignment horizontal="center" vertical="center"/>
    </xf>
    <xf numFmtId="49" fontId="8" fillId="2" borderId="2" xfId="0" applyNumberFormat="1" applyFont="1" applyFill="1" applyBorder="1" applyAlignment="1">
      <alignment horizontal="center" vertical="center" wrapText="1"/>
    </xf>
    <xf numFmtId="10" fontId="8" fillId="2" borderId="7" xfId="0" applyNumberFormat="1" applyFont="1" applyFill="1" applyBorder="1" applyAlignment="1">
      <alignment horizontal="center" vertical="center"/>
    </xf>
    <xf numFmtId="1" fontId="8" fillId="2" borderId="7" xfId="0" applyNumberFormat="1" applyFont="1" applyFill="1" applyBorder="1" applyAlignment="1">
      <alignment horizontal="center" vertical="center"/>
    </xf>
    <xf numFmtId="49" fontId="8" fillId="2" borderId="1" xfId="0" applyNumberFormat="1" applyFont="1" applyFill="1" applyBorder="1" applyAlignment="1">
      <alignment horizontal="left" vertical="top" wrapText="1" readingOrder="1"/>
    </xf>
    <xf numFmtId="10" fontId="8" fillId="2" borderId="2" xfId="0" applyNumberFormat="1" applyFont="1" applyFill="1" applyBorder="1" applyAlignment="1">
      <alignment horizontal="center" vertical="center"/>
    </xf>
    <xf numFmtId="1" fontId="8" fillId="2" borderId="2" xfId="0" applyNumberFormat="1" applyFont="1" applyFill="1" applyBorder="1" applyAlignment="1">
      <alignment horizontal="center" vertical="center"/>
    </xf>
    <xf numFmtId="0" fontId="8" fillId="2" borderId="6" xfId="0" applyFont="1" applyFill="1" applyBorder="1" applyAlignment="1">
      <alignment horizontal="center" vertical="center" wrapText="1"/>
    </xf>
    <xf numFmtId="10" fontId="8" fillId="2" borderId="1" xfId="0" applyNumberFormat="1" applyFont="1" applyFill="1" applyBorder="1" applyAlignment="1">
      <alignment horizontal="center" vertical="center" wrapText="1"/>
    </xf>
    <xf numFmtId="1" fontId="8" fillId="2" borderId="1" xfId="0" applyNumberFormat="1" applyFont="1" applyFill="1" applyBorder="1" applyAlignment="1">
      <alignment horizontal="center" vertical="center" wrapText="1"/>
    </xf>
    <xf numFmtId="0" fontId="56" fillId="0" borderId="1" xfId="0" applyFont="1" applyBorder="1" applyAlignment="1">
      <alignment horizontal="center" vertical="center"/>
    </xf>
    <xf numFmtId="49" fontId="56" fillId="0" borderId="1" xfId="0" applyNumberFormat="1" applyFont="1" applyBorder="1" applyAlignment="1">
      <alignment horizontal="center" vertical="center" wrapText="1"/>
    </xf>
    <xf numFmtId="0" fontId="57" fillId="0" borderId="1" xfId="0" applyFont="1" applyBorder="1" applyAlignment="1">
      <alignment horizontal="center" vertical="center"/>
    </xf>
    <xf numFmtId="10" fontId="57" fillId="0" borderId="1" xfId="0" applyNumberFormat="1" applyFont="1" applyBorder="1" applyAlignment="1">
      <alignment horizontal="center" vertical="center"/>
    </xf>
    <xf numFmtId="1" fontId="57" fillId="0" borderId="1" xfId="0" applyNumberFormat="1" applyFont="1" applyBorder="1" applyAlignment="1">
      <alignment horizontal="center" vertical="center"/>
    </xf>
    <xf numFmtId="49" fontId="57" fillId="0" borderId="1" xfId="0" applyNumberFormat="1" applyFont="1" applyBorder="1" applyAlignment="1">
      <alignment horizontal="center" vertical="center" wrapText="1"/>
    </xf>
    <xf numFmtId="0" fontId="57" fillId="0" borderId="1" xfId="0" applyFont="1" applyBorder="1" applyAlignment="1">
      <alignment horizontal="center" vertical="center" wrapText="1"/>
    </xf>
    <xf numFmtId="49" fontId="9" fillId="10" borderId="1" xfId="0" applyNumberFormat="1" applyFont="1" applyFill="1" applyBorder="1" applyAlignment="1">
      <alignment horizontal="left" vertical="top" wrapText="1" readingOrder="1"/>
    </xf>
    <xf numFmtId="0" fontId="1" fillId="10" borderId="0" xfId="0" applyFont="1" applyFill="1"/>
    <xf numFmtId="10" fontId="10" fillId="0" borderId="1" xfId="0" applyNumberFormat="1" applyFont="1" applyBorder="1" applyAlignment="1">
      <alignment horizontal="center" vertical="center"/>
    </xf>
    <xf numFmtId="1" fontId="10" fillId="0" borderId="1" xfId="0" applyNumberFormat="1" applyFont="1" applyBorder="1" applyAlignment="1">
      <alignment horizontal="center" vertical="center"/>
    </xf>
    <xf numFmtId="0" fontId="11" fillId="6" borderId="1" xfId="0" applyFont="1" applyFill="1" applyBorder="1" applyAlignment="1">
      <alignment horizontal="center" vertical="center"/>
    </xf>
    <xf numFmtId="10" fontId="11" fillId="6" borderId="1" xfId="0" applyNumberFormat="1" applyFont="1" applyFill="1" applyBorder="1" applyAlignment="1">
      <alignment horizontal="center" vertical="center"/>
    </xf>
    <xf numFmtId="1" fontId="11" fillId="6" borderId="1" xfId="0" applyNumberFormat="1" applyFont="1" applyFill="1" applyBorder="1" applyAlignment="1">
      <alignment horizontal="center" vertical="center"/>
    </xf>
    <xf numFmtId="0" fontId="11" fillId="0" borderId="1" xfId="0" applyFont="1" applyBorder="1" applyAlignment="1">
      <alignment horizontal="center" vertical="center"/>
    </xf>
    <xf numFmtId="0" fontId="11" fillId="10" borderId="1" xfId="0" applyFont="1" applyFill="1" applyBorder="1" applyAlignment="1">
      <alignment horizontal="center" vertical="center"/>
    </xf>
    <xf numFmtId="10" fontId="11" fillId="10" borderId="1" xfId="0" applyNumberFormat="1" applyFont="1" applyFill="1" applyBorder="1" applyAlignment="1">
      <alignment horizontal="center" vertical="center"/>
    </xf>
    <xf numFmtId="1" fontId="11" fillId="10" borderId="1" xfId="0" applyNumberFormat="1" applyFont="1" applyFill="1" applyBorder="1" applyAlignment="1">
      <alignment horizontal="center" vertical="center"/>
    </xf>
    <xf numFmtId="9" fontId="10" fillId="6" borderId="1" xfId="0" applyNumberFormat="1" applyFont="1" applyFill="1" applyBorder="1" applyAlignment="1">
      <alignment horizontal="center" vertical="center"/>
    </xf>
    <xf numFmtId="10" fontId="11" fillId="0" borderId="1" xfId="0" applyNumberFormat="1" applyFont="1" applyBorder="1" applyAlignment="1">
      <alignment horizontal="center" vertical="center"/>
    </xf>
    <xf numFmtId="1" fontId="11" fillId="0" borderId="1" xfId="0" applyNumberFormat="1" applyFont="1" applyBorder="1" applyAlignment="1">
      <alignment horizontal="center" vertical="center"/>
    </xf>
    <xf numFmtId="0" fontId="11" fillId="20" borderId="1" xfId="0" applyFont="1" applyFill="1" applyBorder="1" applyAlignment="1">
      <alignment horizontal="center" vertical="center"/>
    </xf>
    <xf numFmtId="10" fontId="11" fillId="20" borderId="1" xfId="0" applyNumberFormat="1" applyFont="1" applyFill="1" applyBorder="1" applyAlignment="1">
      <alignment horizontal="center" vertical="center"/>
    </xf>
    <xf numFmtId="1" fontId="11" fillId="20" borderId="1" xfId="0" applyNumberFormat="1" applyFont="1" applyFill="1" applyBorder="1" applyAlignment="1">
      <alignment horizontal="center" vertical="center"/>
    </xf>
    <xf numFmtId="0" fontId="11" fillId="11" borderId="1" xfId="0" applyFont="1" applyFill="1" applyBorder="1" applyAlignment="1">
      <alignment horizontal="center" vertical="center"/>
    </xf>
    <xf numFmtId="10" fontId="11" fillId="11" borderId="1" xfId="0" applyNumberFormat="1" applyFont="1" applyFill="1" applyBorder="1" applyAlignment="1">
      <alignment horizontal="center" vertical="center"/>
    </xf>
    <xf numFmtId="1" fontId="11" fillId="11" borderId="1" xfId="0" applyNumberFormat="1" applyFont="1" applyFill="1" applyBorder="1" applyAlignment="1">
      <alignment horizontal="center" vertical="center"/>
    </xf>
    <xf numFmtId="9" fontId="11" fillId="6" borderId="1" xfId="0" applyNumberFormat="1" applyFont="1" applyFill="1" applyBorder="1" applyAlignment="1">
      <alignment horizontal="center" vertical="center"/>
    </xf>
    <xf numFmtId="0" fontId="11" fillId="8" borderId="1" xfId="0" applyFont="1" applyFill="1" applyBorder="1" applyAlignment="1">
      <alignment horizontal="center" vertical="center"/>
    </xf>
    <xf numFmtId="10" fontId="11" fillId="8" borderId="1" xfId="0" applyNumberFormat="1" applyFont="1" applyFill="1" applyBorder="1" applyAlignment="1">
      <alignment horizontal="center" vertical="center"/>
    </xf>
    <xf numFmtId="1" fontId="11" fillId="8" borderId="1" xfId="0" applyNumberFormat="1" applyFont="1" applyFill="1" applyBorder="1" applyAlignment="1">
      <alignment horizontal="center" vertical="center"/>
    </xf>
    <xf numFmtId="0" fontId="11" fillId="2" borderId="1" xfId="0" applyFont="1" applyFill="1" applyBorder="1" applyAlignment="1">
      <alignment horizontal="center" vertical="center"/>
    </xf>
    <xf numFmtId="10" fontId="11" fillId="2" borderId="1" xfId="0" applyNumberFormat="1" applyFont="1" applyFill="1" applyBorder="1" applyAlignment="1">
      <alignment horizontal="center" vertical="center"/>
    </xf>
    <xf numFmtId="1" fontId="11" fillId="2" borderId="1" xfId="0" applyNumberFormat="1" applyFont="1" applyFill="1" applyBorder="1" applyAlignment="1">
      <alignment horizontal="center" vertical="center"/>
    </xf>
    <xf numFmtId="0" fontId="1" fillId="2" borderId="0" xfId="0" applyFont="1" applyFill="1"/>
    <xf numFmtId="1" fontId="0" fillId="0" borderId="0" xfId="0" applyNumberFormat="1"/>
    <xf numFmtId="1" fontId="1" fillId="0" borderId="2" xfId="0" applyNumberFormat="1" applyFont="1" applyBorder="1" applyAlignment="1">
      <alignment horizontal="center" vertical="center" wrapText="1"/>
    </xf>
    <xf numFmtId="1" fontId="0" fillId="0" borderId="2" xfId="0" applyNumberFormat="1" applyBorder="1"/>
    <xf numFmtId="0" fontId="1" fillId="6" borderId="2" xfId="0" applyFont="1" applyFill="1" applyBorder="1" applyAlignment="1">
      <alignment horizontal="center" vertical="center" wrapText="1"/>
    </xf>
    <xf numFmtId="0" fontId="8" fillId="4" borderId="2" xfId="0" applyFont="1" applyFill="1" applyBorder="1" applyAlignment="1">
      <alignment horizontal="center" vertical="center"/>
    </xf>
    <xf numFmtId="0" fontId="52" fillId="2" borderId="1" xfId="0" applyFont="1" applyFill="1" applyBorder="1" applyAlignment="1">
      <alignment horizontal="center" vertical="center" wrapText="1"/>
    </xf>
    <xf numFmtId="49" fontId="52" fillId="2" borderId="1" xfId="0" applyNumberFormat="1" applyFont="1" applyFill="1" applyBorder="1" applyAlignment="1">
      <alignment horizontal="center" vertical="center" wrapText="1"/>
    </xf>
    <xf numFmtId="10" fontId="52" fillId="2" borderId="1" xfId="0" applyNumberFormat="1" applyFont="1" applyFill="1" applyBorder="1" applyAlignment="1">
      <alignment horizontal="center" vertical="center" wrapText="1"/>
    </xf>
    <xf numFmtId="1" fontId="52" fillId="2" borderId="1" xfId="0" applyNumberFormat="1" applyFont="1" applyFill="1" applyBorder="1" applyAlignment="1">
      <alignment horizontal="center" vertical="center" wrapText="1"/>
    </xf>
    <xf numFmtId="0" fontId="52" fillId="2" borderId="1" xfId="0" applyFont="1" applyFill="1" applyBorder="1" applyAlignment="1">
      <alignment horizontal="left" vertical="top" wrapText="1"/>
    </xf>
    <xf numFmtId="0" fontId="9" fillId="2" borderId="1" xfId="0" applyFont="1" applyFill="1" applyBorder="1" applyAlignment="1">
      <alignment horizontal="center" vertical="center" wrapText="1"/>
    </xf>
    <xf numFmtId="0" fontId="8" fillId="11" borderId="1" xfId="0" applyFont="1" applyFill="1" applyBorder="1" applyAlignment="1">
      <alignment horizontal="center" vertical="top" wrapText="1"/>
    </xf>
    <xf numFmtId="0" fontId="1" fillId="11" borderId="2" xfId="0" applyFont="1" applyFill="1" applyBorder="1" applyAlignment="1">
      <alignment horizontal="center" vertical="center" wrapText="1"/>
    </xf>
    <xf numFmtId="0" fontId="59" fillId="4" borderId="1" xfId="0" applyFont="1" applyFill="1" applyBorder="1" applyAlignment="1">
      <alignment horizontal="center" vertical="center"/>
    </xf>
    <xf numFmtId="49" fontId="59" fillId="4" borderId="1" xfId="0" applyNumberFormat="1" applyFont="1" applyFill="1" applyBorder="1" applyAlignment="1">
      <alignment horizontal="center" vertical="center" wrapText="1"/>
    </xf>
    <xf numFmtId="10" fontId="59" fillId="4" borderId="1" xfId="0" applyNumberFormat="1" applyFont="1" applyFill="1" applyBorder="1" applyAlignment="1">
      <alignment horizontal="center" vertical="center"/>
    </xf>
    <xf numFmtId="1" fontId="59" fillId="4" borderId="1" xfId="0" applyNumberFormat="1" applyFont="1" applyFill="1" applyBorder="1" applyAlignment="1">
      <alignment horizontal="center" vertical="center"/>
    </xf>
    <xf numFmtId="0" fontId="60" fillId="4" borderId="1" xfId="0" applyFont="1" applyFill="1" applyBorder="1" applyAlignment="1">
      <alignment horizontal="left" vertical="top" wrapText="1"/>
    </xf>
    <xf numFmtId="49" fontId="59" fillId="4" borderId="1" xfId="0" applyNumberFormat="1" applyFont="1" applyFill="1" applyBorder="1" applyAlignment="1">
      <alignment horizontal="left" vertical="top" wrapText="1"/>
    </xf>
    <xf numFmtId="10" fontId="48" fillId="20" borderId="1" xfId="0" applyNumberFormat="1" applyFont="1" applyFill="1" applyBorder="1" applyAlignment="1">
      <alignment horizontal="center" vertical="center"/>
    </xf>
    <xf numFmtId="2" fontId="9" fillId="0" borderId="1" xfId="0" applyNumberFormat="1" applyFont="1" applyBorder="1" applyAlignment="1">
      <alignment horizontal="center" vertical="center"/>
    </xf>
    <xf numFmtId="2" fontId="8" fillId="2" borderId="1" xfId="0" applyNumberFormat="1" applyFont="1" applyFill="1" applyBorder="1" applyAlignment="1">
      <alignment horizontal="center" vertical="center"/>
    </xf>
    <xf numFmtId="0" fontId="12" fillId="6" borderId="0" xfId="0" applyFont="1" applyFill="1" applyAlignment="1">
      <alignment horizontal="center" vertical="center" wrapText="1"/>
    </xf>
    <xf numFmtId="0" fontId="14" fillId="6" borderId="0" xfId="0" applyFont="1" applyFill="1" applyAlignment="1">
      <alignment horizontal="center" vertical="center" wrapText="1"/>
    </xf>
    <xf numFmtId="0" fontId="48" fillId="6" borderId="1" xfId="0" applyFont="1" applyFill="1" applyBorder="1" applyAlignment="1">
      <alignment horizontal="left" vertical="top" wrapText="1"/>
    </xf>
    <xf numFmtId="0" fontId="1" fillId="11" borderId="1" xfId="0" applyFont="1" applyFill="1" applyBorder="1" applyAlignment="1">
      <alignment horizontal="left" vertical="top" wrapText="1"/>
    </xf>
    <xf numFmtId="49" fontId="8" fillId="2" borderId="7" xfId="0" applyNumberFormat="1" applyFont="1" applyFill="1" applyBorder="1" applyAlignment="1">
      <alignment horizontal="left" vertical="top" wrapText="1" readingOrder="1"/>
    </xf>
    <xf numFmtId="0" fontId="11" fillId="6" borderId="1" xfId="0" applyFont="1" applyFill="1" applyBorder="1" applyAlignment="1">
      <alignment horizontal="center" vertical="center" wrapText="1"/>
    </xf>
    <xf numFmtId="0" fontId="11" fillId="10" borderId="1" xfId="0" applyFont="1" applyFill="1" applyBorder="1" applyAlignment="1">
      <alignment horizontal="center" vertical="center" wrapText="1"/>
    </xf>
    <xf numFmtId="49" fontId="11" fillId="6" borderId="2" xfId="0" applyNumberFormat="1" applyFont="1" applyFill="1" applyBorder="1" applyAlignment="1">
      <alignment horizontal="center" vertical="center" wrapText="1"/>
    </xf>
    <xf numFmtId="0" fontId="0" fillId="11" borderId="1" xfId="0" applyFill="1" applyBorder="1"/>
    <xf numFmtId="0" fontId="51" fillId="11" borderId="14" xfId="0" applyFont="1" applyFill="1" applyBorder="1" applyAlignment="1">
      <alignment horizontal="center" vertical="center" wrapText="1"/>
    </xf>
    <xf numFmtId="0" fontId="4" fillId="0" borderId="1" xfId="0" applyFont="1" applyBorder="1" applyAlignment="1">
      <alignment horizontal="center" vertical="center"/>
    </xf>
    <xf numFmtId="0" fontId="14" fillId="0" borderId="1" xfId="0" applyFont="1" applyBorder="1" applyAlignment="1">
      <alignment horizontal="center" vertical="center"/>
    </xf>
    <xf numFmtId="1" fontId="4" fillId="0" borderId="1" xfId="0" applyNumberFormat="1" applyFont="1" applyBorder="1" applyAlignment="1">
      <alignment horizontal="center" vertical="center"/>
    </xf>
    <xf numFmtId="0" fontId="4" fillId="0" borderId="1" xfId="0" applyFont="1" applyBorder="1" applyAlignment="1">
      <alignment horizontal="center" vertical="center" wrapText="1"/>
    </xf>
    <xf numFmtId="2" fontId="4" fillId="0" borderId="1" xfId="0" applyNumberFormat="1" applyFont="1" applyBorder="1" applyAlignment="1">
      <alignment horizontal="center" vertical="center" wrapText="1"/>
    </xf>
    <xf numFmtId="0" fontId="4" fillId="0" borderId="14" xfId="0" applyFont="1" applyBorder="1" applyAlignment="1">
      <alignment wrapText="1"/>
    </xf>
    <xf numFmtId="0" fontId="4" fillId="0" borderId="1" xfId="0" applyFont="1" applyBorder="1"/>
    <xf numFmtId="1" fontId="1" fillId="0" borderId="1" xfId="0" applyNumberFormat="1" applyFont="1" applyBorder="1" applyAlignment="1">
      <alignment horizontal="center" vertical="center"/>
    </xf>
    <xf numFmtId="0" fontId="1" fillId="0" borderId="1" xfId="0" applyFont="1" applyBorder="1" applyAlignment="1">
      <alignment horizontal="center" vertical="center" wrapText="1"/>
    </xf>
    <xf numFmtId="0" fontId="11" fillId="3" borderId="1" xfId="0" applyFont="1" applyFill="1" applyBorder="1" applyAlignment="1">
      <alignment horizontal="center" vertical="center"/>
    </xf>
    <xf numFmtId="1" fontId="1" fillId="21" borderId="1" xfId="0" applyNumberFormat="1" applyFont="1" applyFill="1" applyBorder="1" applyAlignment="1">
      <alignment horizontal="center" vertical="center"/>
    </xf>
    <xf numFmtId="1" fontId="0" fillId="0" borderId="0" xfId="0" applyNumberFormat="1" applyAlignment="1">
      <alignment horizontal="center" vertical="center"/>
    </xf>
    <xf numFmtId="49" fontId="8" fillId="2" borderId="1" xfId="0" applyNumberFormat="1" applyFont="1" applyFill="1" applyBorder="1" applyAlignment="1">
      <alignment horizontal="center" vertical="center" wrapText="1" readingOrder="1"/>
    </xf>
    <xf numFmtId="0" fontId="9" fillId="2" borderId="1" xfId="0" applyFont="1" applyFill="1" applyBorder="1" applyAlignment="1">
      <alignment horizontal="left" vertical="top" wrapText="1"/>
    </xf>
    <xf numFmtId="0" fontId="9" fillId="0" borderId="7" xfId="0" applyFont="1" applyBorder="1" applyAlignment="1">
      <alignment horizontal="center" vertical="center"/>
    </xf>
    <xf numFmtId="49" fontId="11" fillId="2" borderId="1" xfId="0" applyNumberFormat="1" applyFont="1" applyFill="1" applyBorder="1" applyAlignment="1">
      <alignment horizontal="center" vertical="center"/>
    </xf>
    <xf numFmtId="0" fontId="1" fillId="2" borderId="1" xfId="0" applyFont="1" applyFill="1" applyBorder="1" applyAlignment="1">
      <alignment horizontal="center" vertical="center" wrapText="1"/>
    </xf>
    <xf numFmtId="0" fontId="0" fillId="0" borderId="1" xfId="0" applyBorder="1" applyAlignment="1">
      <alignment horizontal="center"/>
    </xf>
    <xf numFmtId="0" fontId="1" fillId="2" borderId="1" xfId="0" applyFont="1" applyFill="1" applyBorder="1" applyAlignment="1">
      <alignment horizontal="center"/>
    </xf>
    <xf numFmtId="2" fontId="8" fillId="2" borderId="1" xfId="0" applyNumberFormat="1" applyFont="1" applyFill="1" applyBorder="1" applyAlignment="1">
      <alignment horizontal="center" vertical="center" wrapText="1"/>
    </xf>
    <xf numFmtId="2" fontId="8" fillId="6" borderId="1" xfId="0" applyNumberFormat="1" applyFont="1" applyFill="1" applyBorder="1" applyAlignment="1">
      <alignment horizontal="center" vertical="center" wrapText="1"/>
    </xf>
    <xf numFmtId="2" fontId="9" fillId="6" borderId="1" xfId="0" applyNumberFormat="1" applyFont="1" applyFill="1" applyBorder="1" applyAlignment="1">
      <alignment horizontal="center" vertical="center"/>
    </xf>
    <xf numFmtId="2" fontId="9" fillId="10" borderId="1" xfId="0" applyNumberFormat="1" applyFont="1" applyFill="1" applyBorder="1" applyAlignment="1">
      <alignment horizontal="center" vertical="center"/>
    </xf>
    <xf numFmtId="2" fontId="12" fillId="2" borderId="1" xfId="0" applyNumberFormat="1" applyFont="1" applyFill="1" applyBorder="1" applyAlignment="1">
      <alignment horizontal="center" vertical="center"/>
    </xf>
    <xf numFmtId="2" fontId="0" fillId="6" borderId="0" xfId="0" applyNumberFormat="1" applyFill="1" applyAlignment="1">
      <alignment horizontal="center" vertical="center"/>
    </xf>
    <xf numFmtId="2" fontId="8" fillId="11" borderId="1" xfId="0" applyNumberFormat="1" applyFont="1" applyFill="1" applyBorder="1" applyAlignment="1">
      <alignment horizontal="center" vertical="center"/>
    </xf>
    <xf numFmtId="2" fontId="12" fillId="0" borderId="1" xfId="0" applyNumberFormat="1" applyFont="1" applyBorder="1" applyAlignment="1">
      <alignment horizontal="center" vertical="center"/>
    </xf>
    <xf numFmtId="2" fontId="8" fillId="6" borderId="1" xfId="0" applyNumberFormat="1" applyFont="1" applyFill="1" applyBorder="1" applyAlignment="1">
      <alignment horizontal="center" vertical="center"/>
    </xf>
    <xf numFmtId="2" fontId="52" fillId="2" borderId="1" xfId="0" applyNumberFormat="1" applyFont="1" applyFill="1" applyBorder="1" applyAlignment="1">
      <alignment horizontal="center" vertical="center" wrapText="1"/>
    </xf>
    <xf numFmtId="2" fontId="8" fillId="11" borderId="1" xfId="0" applyNumberFormat="1" applyFont="1" applyFill="1" applyBorder="1" applyAlignment="1">
      <alignment horizontal="center" vertical="center" wrapText="1"/>
    </xf>
    <xf numFmtId="2" fontId="8" fillId="0" borderId="1" xfId="0" applyNumberFormat="1" applyFont="1" applyBorder="1" applyAlignment="1">
      <alignment horizontal="center" vertical="center" wrapText="1"/>
    </xf>
    <xf numFmtId="2" fontId="12" fillId="6" borderId="1" xfId="0" applyNumberFormat="1" applyFont="1" applyFill="1" applyBorder="1" applyAlignment="1">
      <alignment horizontal="center" vertical="center" wrapText="1"/>
    </xf>
    <xf numFmtId="2" fontId="8" fillId="10" borderId="1" xfId="0" applyNumberFormat="1" applyFont="1" applyFill="1" applyBorder="1" applyAlignment="1">
      <alignment horizontal="center" vertical="center" wrapText="1"/>
    </xf>
    <xf numFmtId="2" fontId="8" fillId="0" borderId="1" xfId="0" applyNumberFormat="1" applyFont="1" applyBorder="1" applyAlignment="1">
      <alignment horizontal="center" vertical="center"/>
    </xf>
    <xf numFmtId="2" fontId="13" fillId="0" borderId="1" xfId="0" applyNumberFormat="1" applyFont="1" applyBorder="1" applyAlignment="1">
      <alignment horizontal="center" vertical="center"/>
    </xf>
    <xf numFmtId="2" fontId="8" fillId="2" borderId="7" xfId="0" applyNumberFormat="1" applyFont="1" applyFill="1" applyBorder="1" applyAlignment="1">
      <alignment horizontal="center" vertical="center" wrapText="1"/>
    </xf>
    <xf numFmtId="2" fontId="9" fillId="11" borderId="1" xfId="0" applyNumberFormat="1" applyFont="1" applyFill="1" applyBorder="1" applyAlignment="1">
      <alignment horizontal="center" vertical="center" wrapText="1"/>
    </xf>
    <xf numFmtId="2" fontId="8" fillId="10" borderId="1" xfId="0" applyNumberFormat="1" applyFont="1" applyFill="1" applyBorder="1" applyAlignment="1">
      <alignment horizontal="center" vertical="center"/>
    </xf>
    <xf numFmtId="2" fontId="9" fillId="11" borderId="1" xfId="0" applyNumberFormat="1" applyFont="1" applyFill="1" applyBorder="1" applyAlignment="1">
      <alignment horizontal="center" vertical="center"/>
    </xf>
    <xf numFmtId="2" fontId="8" fillId="2" borderId="7" xfId="0" applyNumberFormat="1" applyFont="1" applyFill="1" applyBorder="1" applyAlignment="1">
      <alignment horizontal="center" vertical="center"/>
    </xf>
    <xf numFmtId="0" fontId="4" fillId="0" borderId="2" xfId="0" applyFont="1" applyBorder="1" applyAlignment="1">
      <alignment horizontal="center" vertical="center" wrapText="1"/>
    </xf>
    <xf numFmtId="0" fontId="1" fillId="0" borderId="0" xfId="0" applyFont="1" applyAlignment="1">
      <alignment horizontal="center" vertical="center" wrapText="1"/>
    </xf>
    <xf numFmtId="0" fontId="0" fillId="0" borderId="8" xfId="0" applyBorder="1" applyAlignment="1">
      <alignment horizontal="center"/>
    </xf>
    <xf numFmtId="0" fontId="1" fillId="0" borderId="7" xfId="0" applyFont="1" applyBorder="1" applyAlignment="1">
      <alignment horizontal="center" vertical="center" wrapText="1"/>
    </xf>
    <xf numFmtId="0" fontId="0" fillId="0" borderId="7" xfId="0" applyBorder="1" applyAlignment="1">
      <alignment horizontal="center"/>
    </xf>
    <xf numFmtId="0" fontId="1" fillId="0" borderId="8" xfId="0" applyFont="1" applyBorder="1" applyAlignment="1">
      <alignment horizontal="center" vertical="center" wrapText="1"/>
    </xf>
    <xf numFmtId="0" fontId="0" fillId="2" borderId="1" xfId="0" applyFill="1" applyBorder="1"/>
    <xf numFmtId="0" fontId="1" fillId="6" borderId="1" xfId="0" applyFont="1" applyFill="1" applyBorder="1" applyAlignment="1">
      <alignment horizontal="center" vertical="center"/>
    </xf>
    <xf numFmtId="2" fontId="8" fillId="23" borderId="1" xfId="0" applyNumberFormat="1" applyFont="1" applyFill="1" applyBorder="1" applyAlignment="1">
      <alignment horizontal="center" vertical="center"/>
    </xf>
    <xf numFmtId="0" fontId="8" fillId="23" borderId="1" xfId="0" applyFont="1" applyFill="1" applyBorder="1" applyAlignment="1">
      <alignment horizontal="center" vertical="center"/>
    </xf>
    <xf numFmtId="49" fontId="8" fillId="23" borderId="1" xfId="0" applyNumberFormat="1" applyFont="1" applyFill="1" applyBorder="1" applyAlignment="1">
      <alignment horizontal="center" vertical="center" wrapText="1"/>
    </xf>
    <xf numFmtId="0" fontId="8" fillId="23" borderId="1" xfId="0" applyFont="1" applyFill="1" applyBorder="1" applyAlignment="1">
      <alignment horizontal="left" vertical="top" wrapText="1"/>
    </xf>
    <xf numFmtId="0" fontId="8" fillId="23" borderId="1" xfId="0" applyFont="1" applyFill="1" applyBorder="1" applyAlignment="1">
      <alignment horizontal="center" vertical="center" wrapText="1"/>
    </xf>
    <xf numFmtId="0" fontId="83" fillId="2" borderId="1" xfId="0" applyFont="1" applyFill="1" applyBorder="1" applyAlignment="1">
      <alignment horizontal="left" vertical="top" wrapText="1"/>
    </xf>
    <xf numFmtId="0" fontId="1" fillId="2" borderId="1" xfId="0" applyFont="1" applyFill="1" applyBorder="1" applyAlignment="1">
      <alignment horizontal="left" vertical="top" wrapText="1"/>
    </xf>
    <xf numFmtId="0" fontId="84" fillId="0" borderId="0" xfId="0" applyFont="1"/>
    <xf numFmtId="0" fontId="83" fillId="0" borderId="1" xfId="0" applyFont="1" applyBorder="1" applyAlignment="1">
      <alignment horizontal="center" vertical="center"/>
    </xf>
    <xf numFmtId="49" fontId="83" fillId="0" borderId="1" xfId="0" applyNumberFormat="1" applyFont="1" applyBorder="1" applyAlignment="1">
      <alignment horizontal="center" vertical="center" wrapText="1"/>
    </xf>
    <xf numFmtId="1" fontId="83" fillId="0" borderId="1" xfId="0" applyNumberFormat="1" applyFont="1" applyBorder="1" applyAlignment="1">
      <alignment horizontal="center" vertical="center"/>
    </xf>
    <xf numFmtId="10" fontId="83" fillId="0" borderId="1" xfId="0" applyNumberFormat="1" applyFont="1" applyBorder="1" applyAlignment="1">
      <alignment horizontal="center" vertical="center"/>
    </xf>
    <xf numFmtId="49" fontId="83" fillId="0" borderId="1" xfId="0" applyNumberFormat="1" applyFont="1" applyBorder="1" applyAlignment="1">
      <alignment horizontal="left" vertical="top" wrapText="1"/>
    </xf>
    <xf numFmtId="0" fontId="1" fillId="11" borderId="1" xfId="0" applyFont="1" applyFill="1" applyBorder="1" applyAlignment="1">
      <alignment horizontal="center" vertical="center" wrapText="1"/>
    </xf>
    <xf numFmtId="0" fontId="0" fillId="11" borderId="1" xfId="0" applyFill="1" applyBorder="1" applyAlignment="1">
      <alignment horizontal="center"/>
    </xf>
    <xf numFmtId="0" fontId="1" fillId="11" borderId="7" xfId="0" applyFont="1" applyFill="1" applyBorder="1" applyAlignment="1">
      <alignment horizontal="center" vertical="center" wrapText="1"/>
    </xf>
    <xf numFmtId="0" fontId="1" fillId="11" borderId="1" xfId="0" applyFont="1" applyFill="1" applyBorder="1" applyAlignment="1">
      <alignment horizontal="center"/>
    </xf>
    <xf numFmtId="0" fontId="1" fillId="11" borderId="1" xfId="0" applyFont="1" applyFill="1" applyBorder="1" applyAlignment="1">
      <alignment horizontal="center" vertical="center"/>
    </xf>
    <xf numFmtId="0" fontId="0" fillId="11" borderId="7" xfId="0" applyFill="1" applyBorder="1" applyAlignment="1">
      <alignment horizontal="center" vertical="center"/>
    </xf>
    <xf numFmtId="0" fontId="1" fillId="11" borderId="7" xfId="0" applyFont="1" applyFill="1" applyBorder="1" applyAlignment="1">
      <alignment horizontal="center" vertical="center"/>
    </xf>
    <xf numFmtId="0" fontId="0" fillId="11" borderId="1" xfId="0" applyFill="1" applyBorder="1" applyAlignment="1">
      <alignment horizontal="center" vertical="center"/>
    </xf>
    <xf numFmtId="0" fontId="84" fillId="22" borderId="1" xfId="0" applyFont="1" applyFill="1" applyBorder="1" applyAlignment="1">
      <alignment horizontal="center" vertical="center"/>
    </xf>
    <xf numFmtId="0" fontId="84" fillId="0" borderId="1" xfId="0" applyFont="1" applyBorder="1" applyAlignment="1">
      <alignment horizontal="center" vertical="center"/>
    </xf>
    <xf numFmtId="0" fontId="29" fillId="0" borderId="1" xfId="0" applyFont="1" applyBorder="1"/>
    <xf numFmtId="0" fontId="29" fillId="2" borderId="1" xfId="0" applyFont="1" applyFill="1" applyBorder="1"/>
    <xf numFmtId="0" fontId="32" fillId="0" borderId="1" xfId="0" applyFont="1" applyBorder="1"/>
    <xf numFmtId="0" fontId="29" fillId="0" borderId="1" xfId="0" applyFont="1" applyBorder="1" applyAlignment="1">
      <alignment wrapText="1"/>
    </xf>
    <xf numFmtId="0" fontId="29" fillId="2" borderId="1" xfId="0" applyFont="1" applyFill="1" applyBorder="1" applyAlignment="1">
      <alignment wrapText="1"/>
    </xf>
    <xf numFmtId="0" fontId="0" fillId="0" borderId="14" xfId="0" applyBorder="1"/>
    <xf numFmtId="0" fontId="1" fillId="0" borderId="1" xfId="0" applyFont="1" applyBorder="1"/>
    <xf numFmtId="0" fontId="1" fillId="0" borderId="0" xfId="0" applyFont="1"/>
    <xf numFmtId="0" fontId="1" fillId="8" borderId="1" xfId="0" applyFont="1" applyFill="1" applyBorder="1"/>
    <xf numFmtId="0" fontId="29" fillId="0" borderId="14" xfId="0" applyFont="1" applyBorder="1"/>
    <xf numFmtId="0" fontId="1" fillId="0" borderId="24" xfId="0" applyFont="1" applyBorder="1"/>
    <xf numFmtId="0" fontId="1" fillId="0" borderId="0" xfId="0" applyFont="1" applyAlignment="1">
      <alignment horizontal="center" vertical="center"/>
    </xf>
    <xf numFmtId="0" fontId="1" fillId="24" borderId="1" xfId="0" applyFont="1" applyFill="1" applyBorder="1" applyAlignment="1">
      <alignment horizontal="center" vertical="center" wrapText="1"/>
    </xf>
    <xf numFmtId="0" fontId="0" fillId="24" borderId="1" xfId="0" applyFill="1" applyBorder="1" applyAlignment="1">
      <alignment horizontal="center"/>
    </xf>
    <xf numFmtId="0" fontId="0" fillId="24" borderId="0" xfId="0" applyFill="1"/>
    <xf numFmtId="0" fontId="4" fillId="24" borderId="1" xfId="0" applyFont="1" applyFill="1" applyBorder="1" applyAlignment="1">
      <alignment horizontal="center" vertical="center" wrapText="1"/>
    </xf>
    <xf numFmtId="0" fontId="4" fillId="24" borderId="1" xfId="0" applyFont="1" applyFill="1" applyBorder="1" applyAlignment="1">
      <alignment horizontal="center"/>
    </xf>
    <xf numFmtId="0" fontId="0" fillId="11" borderId="7" xfId="0" applyFill="1" applyBorder="1" applyAlignment="1">
      <alignment horizontal="center"/>
    </xf>
    <xf numFmtId="2" fontId="9" fillId="2" borderId="1" xfId="0" applyNumberFormat="1" applyFont="1" applyFill="1" applyBorder="1" applyAlignment="1">
      <alignment horizontal="center" vertical="center" wrapText="1"/>
    </xf>
    <xf numFmtId="0" fontId="52" fillId="11" borderId="1" xfId="0" applyFont="1" applyFill="1" applyBorder="1" applyAlignment="1">
      <alignment horizontal="center" vertical="center" wrapText="1"/>
    </xf>
    <xf numFmtId="49" fontId="52" fillId="11" borderId="1" xfId="0" applyNumberFormat="1" applyFont="1" applyFill="1" applyBorder="1" applyAlignment="1">
      <alignment horizontal="center" vertical="center" wrapText="1"/>
    </xf>
    <xf numFmtId="2" fontId="52" fillId="11" borderId="1" xfId="0" applyNumberFormat="1" applyFont="1" applyFill="1" applyBorder="1" applyAlignment="1">
      <alignment horizontal="center" vertical="center" wrapText="1"/>
    </xf>
    <xf numFmtId="0" fontId="52" fillId="11" borderId="1" xfId="0" applyFont="1" applyFill="1" applyBorder="1" applyAlignment="1">
      <alignment horizontal="left" vertical="top" wrapText="1"/>
    </xf>
    <xf numFmtId="0" fontId="10" fillId="0" borderId="0" xfId="0" applyFont="1" applyAlignment="1">
      <alignment vertical="center" wrapText="1"/>
    </xf>
    <xf numFmtId="0" fontId="10" fillId="0" borderId="1" xfId="0" applyFont="1" applyBorder="1" applyAlignment="1">
      <alignment horizontal="left" vertical="center" wrapText="1"/>
    </xf>
    <xf numFmtId="0" fontId="10" fillId="0" borderId="1" xfId="0" applyFont="1" applyBorder="1" applyAlignment="1">
      <alignment vertical="center" wrapText="1"/>
    </xf>
    <xf numFmtId="0" fontId="86" fillId="0" borderId="1" xfId="0" applyFont="1" applyBorder="1" applyAlignment="1">
      <alignment vertical="center" wrapText="1"/>
    </xf>
    <xf numFmtId="0" fontId="10" fillId="0" borderId="1" xfId="0" applyFont="1" applyBorder="1" applyAlignment="1">
      <alignment vertical="center"/>
    </xf>
    <xf numFmtId="0" fontId="87" fillId="0" borderId="1" xfId="0" applyFont="1" applyBorder="1" applyAlignment="1">
      <alignment horizontal="center" vertical="center" wrapText="1"/>
    </xf>
    <xf numFmtId="0" fontId="87" fillId="0" borderId="1" xfId="0" applyFont="1" applyBorder="1" applyAlignment="1">
      <alignment vertical="center" wrapText="1"/>
    </xf>
    <xf numFmtId="0" fontId="88" fillId="0" borderId="1" xfId="0" applyFont="1" applyBorder="1" applyAlignment="1">
      <alignment horizontal="left" vertical="center" wrapText="1"/>
    </xf>
    <xf numFmtId="0" fontId="10" fillId="0" borderId="0" xfId="0" applyFont="1" applyAlignment="1">
      <alignment vertical="center"/>
    </xf>
    <xf numFmtId="0" fontId="88" fillId="0" borderId="1" xfId="0" applyFont="1" applyBorder="1" applyAlignment="1">
      <alignment vertical="center" wrapText="1"/>
    </xf>
    <xf numFmtId="0" fontId="29" fillId="0" borderId="1" xfId="0" applyFont="1" applyBorder="1" applyAlignment="1">
      <alignment horizontal="center" vertical="center"/>
    </xf>
    <xf numFmtId="0" fontId="79" fillId="6" borderId="1" xfId="0" applyFont="1" applyFill="1" applyBorder="1" applyAlignment="1">
      <alignment horizontal="center" vertical="center" wrapText="1"/>
    </xf>
    <xf numFmtId="0" fontId="1" fillId="6" borderId="1" xfId="0" applyFont="1" applyFill="1" applyBorder="1" applyAlignment="1">
      <alignment horizontal="center" vertical="center" wrapText="1"/>
    </xf>
    <xf numFmtId="164" fontId="0" fillId="0" borderId="1" xfId="0" applyNumberFormat="1" applyBorder="1" applyAlignment="1">
      <alignment horizontal="center" vertical="center"/>
    </xf>
    <xf numFmtId="164" fontId="4" fillId="0" borderId="1" xfId="0" applyNumberFormat="1" applyFont="1" applyBorder="1" applyAlignment="1">
      <alignment horizontal="center" vertical="center"/>
    </xf>
    <xf numFmtId="0" fontId="4" fillId="2" borderId="1" xfId="0" applyFont="1" applyFill="1" applyBorder="1"/>
    <xf numFmtId="0" fontId="0" fillId="0" borderId="0" xfId="0" applyAlignment="1">
      <alignment vertical="center" wrapText="1"/>
    </xf>
    <xf numFmtId="0" fontId="0" fillId="0" borderId="0" xfId="0" applyAlignment="1">
      <alignment vertical="center"/>
    </xf>
    <xf numFmtId="0" fontId="92" fillId="0" borderId="0" xfId="0" applyFont="1" applyAlignment="1">
      <alignment vertical="center" wrapText="1"/>
    </xf>
    <xf numFmtId="0" fontId="1" fillId="0" borderId="0" xfId="0" applyFont="1" applyAlignment="1">
      <alignment vertical="center" wrapText="1"/>
    </xf>
    <xf numFmtId="0" fontId="1" fillId="6" borderId="1" xfId="0" applyFont="1" applyFill="1" applyBorder="1" applyAlignment="1">
      <alignment horizontal="center"/>
    </xf>
    <xf numFmtId="0" fontId="1" fillId="11" borderId="7" xfId="0" applyFont="1" applyFill="1" applyBorder="1" applyAlignment="1">
      <alignment horizontal="center" wrapText="1"/>
    </xf>
    <xf numFmtId="2" fontId="9" fillId="0" borderId="1" xfId="0" applyNumberFormat="1" applyFont="1" applyBorder="1" applyAlignment="1">
      <alignment horizontal="center" vertical="center" wrapText="1"/>
    </xf>
    <xf numFmtId="2" fontId="0" fillId="0" borderId="0" xfId="0" applyNumberFormat="1"/>
    <xf numFmtId="2" fontId="50" fillId="0" borderId="0" xfId="0" applyNumberFormat="1" applyFont="1"/>
    <xf numFmtId="49" fontId="8" fillId="6" borderId="2" xfId="0" applyNumberFormat="1" applyFont="1" applyFill="1" applyBorder="1" applyAlignment="1">
      <alignment horizontal="center" vertical="center" wrapText="1"/>
    </xf>
    <xf numFmtId="49" fontId="8" fillId="6" borderId="2" xfId="0" applyNumberFormat="1" applyFont="1" applyFill="1" applyBorder="1" applyAlignment="1">
      <alignment horizontal="left" vertical="top" wrapText="1" readingOrder="1"/>
    </xf>
    <xf numFmtId="0" fontId="8" fillId="25" borderId="1" xfId="0" applyFont="1" applyFill="1" applyBorder="1" applyAlignment="1">
      <alignment horizontal="center" vertical="center"/>
    </xf>
    <xf numFmtId="49" fontId="8" fillId="25" borderId="1" xfId="0" applyNumberFormat="1" applyFont="1" applyFill="1" applyBorder="1" applyAlignment="1">
      <alignment horizontal="center" vertical="center" wrapText="1"/>
    </xf>
    <xf numFmtId="2" fontId="8" fillId="25" borderId="1" xfId="0" applyNumberFormat="1" applyFont="1" applyFill="1" applyBorder="1" applyAlignment="1">
      <alignment horizontal="center" vertical="center"/>
    </xf>
    <xf numFmtId="0" fontId="8" fillId="25" borderId="1" xfId="0" applyFont="1" applyFill="1" applyBorder="1" applyAlignment="1">
      <alignment horizontal="center" vertical="center" wrapText="1"/>
    </xf>
    <xf numFmtId="0" fontId="8" fillId="25" borderId="1" xfId="0" applyFont="1" applyFill="1" applyBorder="1" applyAlignment="1">
      <alignment horizontal="left" vertical="top" wrapText="1"/>
    </xf>
    <xf numFmtId="49" fontId="33" fillId="0" borderId="1" xfId="0" applyNumberFormat="1" applyFont="1" applyBorder="1" applyAlignment="1">
      <alignment horizontal="left" vertical="top" wrapText="1" readingOrder="1"/>
    </xf>
    <xf numFmtId="2" fontId="10" fillId="0" borderId="1" xfId="0" applyNumberFormat="1" applyFont="1" applyBorder="1" applyAlignment="1">
      <alignment horizontal="center" vertical="center"/>
    </xf>
    <xf numFmtId="2" fontId="11" fillId="6" borderId="1" xfId="0" applyNumberFormat="1" applyFont="1" applyFill="1" applyBorder="1" applyAlignment="1">
      <alignment horizontal="center" vertical="center"/>
    </xf>
    <xf numFmtId="2" fontId="11" fillId="10" borderId="1" xfId="0" applyNumberFormat="1" applyFont="1" applyFill="1" applyBorder="1" applyAlignment="1">
      <alignment horizontal="center" vertical="center"/>
    </xf>
    <xf numFmtId="2" fontId="11" fillId="2" borderId="1" xfId="0" applyNumberFormat="1" applyFont="1" applyFill="1" applyBorder="1" applyAlignment="1">
      <alignment horizontal="center" vertical="center"/>
    </xf>
    <xf numFmtId="2" fontId="10" fillId="6" borderId="1" xfId="0" applyNumberFormat="1" applyFont="1" applyFill="1" applyBorder="1" applyAlignment="1">
      <alignment horizontal="center" vertical="center"/>
    </xf>
    <xf numFmtId="2" fontId="83" fillId="0" borderId="1" xfId="0" applyNumberFormat="1" applyFont="1" applyBorder="1" applyAlignment="1">
      <alignment horizontal="center" vertical="center"/>
    </xf>
    <xf numFmtId="2" fontId="11" fillId="0" borderId="1" xfId="0" applyNumberFormat="1" applyFont="1" applyBorder="1" applyAlignment="1">
      <alignment horizontal="center" vertical="center"/>
    </xf>
    <xf numFmtId="2" fontId="11" fillId="20" borderId="1" xfId="0" applyNumberFormat="1" applyFont="1" applyFill="1" applyBorder="1" applyAlignment="1">
      <alignment horizontal="center" vertical="center"/>
    </xf>
    <xf numFmtId="2" fontId="11" fillId="11" borderId="1" xfId="0" applyNumberFormat="1" applyFont="1" applyFill="1" applyBorder="1" applyAlignment="1">
      <alignment horizontal="center" vertical="center"/>
    </xf>
    <xf numFmtId="2" fontId="59" fillId="4" borderId="1" xfId="0" applyNumberFormat="1" applyFont="1" applyFill="1" applyBorder="1" applyAlignment="1">
      <alignment horizontal="center" vertical="center"/>
    </xf>
    <xf numFmtId="2" fontId="11" fillId="8" borderId="1" xfId="0" applyNumberFormat="1" applyFont="1" applyFill="1" applyBorder="1" applyAlignment="1">
      <alignment horizontal="center" vertical="center"/>
    </xf>
    <xf numFmtId="2" fontId="1" fillId="6" borderId="2" xfId="0" applyNumberFormat="1" applyFont="1" applyFill="1" applyBorder="1" applyAlignment="1">
      <alignment horizontal="center" vertical="center"/>
    </xf>
    <xf numFmtId="49" fontId="8" fillId="6" borderId="3" xfId="0" applyNumberFormat="1" applyFont="1" applyFill="1" applyBorder="1" applyAlignment="1">
      <alignment horizontal="center" vertical="center" wrapText="1"/>
    </xf>
    <xf numFmtId="49" fontId="8" fillId="6" borderId="3" xfId="0" applyNumberFormat="1" applyFont="1" applyFill="1" applyBorder="1" applyAlignment="1">
      <alignment horizontal="left" vertical="top" wrapText="1" readingOrder="1"/>
    </xf>
    <xf numFmtId="49" fontId="9" fillId="0" borderId="8" xfId="0" applyNumberFormat="1" applyFont="1" applyBorder="1" applyAlignment="1">
      <alignment horizontal="left" vertical="top" wrapText="1" readingOrder="1"/>
    </xf>
    <xf numFmtId="0" fontId="23" fillId="0" borderId="1" xfId="0" applyFont="1" applyBorder="1" applyAlignment="1">
      <alignment horizontal="center" vertical="center"/>
    </xf>
    <xf numFmtId="0" fontId="23" fillId="0" borderId="1" xfId="0" applyFont="1" applyBorder="1"/>
    <xf numFmtId="0" fontId="91" fillId="11" borderId="1" xfId="0" applyFont="1" applyFill="1" applyBorder="1" applyAlignment="1">
      <alignment horizontal="center" vertical="center"/>
    </xf>
    <xf numFmtId="0" fontId="91" fillId="2" borderId="1" xfId="0" applyFont="1" applyFill="1" applyBorder="1" applyAlignment="1">
      <alignment horizontal="center" vertical="center"/>
    </xf>
    <xf numFmtId="0" fontId="23" fillId="20" borderId="1" xfId="0" applyFont="1" applyFill="1" applyBorder="1" applyAlignment="1">
      <alignment horizontal="center" vertical="center"/>
    </xf>
    <xf numFmtId="1" fontId="8" fillId="2" borderId="6" xfId="0" applyNumberFormat="1" applyFont="1" applyFill="1" applyBorder="1" applyAlignment="1">
      <alignment horizontal="center" vertical="center" wrapText="1"/>
    </xf>
    <xf numFmtId="1" fontId="9" fillId="6" borderId="6" xfId="0" applyNumberFormat="1" applyFont="1" applyFill="1" applyBorder="1" applyAlignment="1">
      <alignment horizontal="center" vertical="center"/>
    </xf>
    <xf numFmtId="1" fontId="9" fillId="0" borderId="6" xfId="0" applyNumberFormat="1" applyFont="1" applyBorder="1" applyAlignment="1">
      <alignment horizontal="center" vertical="center"/>
    </xf>
    <xf numFmtId="1" fontId="9" fillId="10" borderId="6" xfId="0" applyNumberFormat="1" applyFont="1" applyFill="1" applyBorder="1" applyAlignment="1">
      <alignment horizontal="center" vertical="center"/>
    </xf>
    <xf numFmtId="1" fontId="12" fillId="2" borderId="6" xfId="0" applyNumberFormat="1" applyFont="1" applyFill="1" applyBorder="1" applyAlignment="1">
      <alignment horizontal="center" vertical="center"/>
    </xf>
    <xf numFmtId="1" fontId="8" fillId="11" borderId="6" xfId="0" applyNumberFormat="1" applyFont="1" applyFill="1" applyBorder="1" applyAlignment="1">
      <alignment horizontal="center" vertical="center"/>
    </xf>
    <xf numFmtId="1" fontId="8" fillId="6" borderId="6" xfId="0" applyNumberFormat="1" applyFont="1" applyFill="1" applyBorder="1" applyAlignment="1">
      <alignment horizontal="center" vertical="center" wrapText="1"/>
    </xf>
    <xf numFmtId="1" fontId="12" fillId="0" borderId="6" xfId="0" applyNumberFormat="1" applyFont="1" applyBorder="1" applyAlignment="1">
      <alignment horizontal="center" vertical="center"/>
    </xf>
    <xf numFmtId="1" fontId="8" fillId="6" borderId="6" xfId="0" applyNumberFormat="1" applyFont="1" applyFill="1" applyBorder="1" applyAlignment="1">
      <alignment horizontal="center" vertical="center"/>
    </xf>
    <xf numFmtId="1" fontId="52" fillId="11" borderId="6" xfId="0" applyNumberFormat="1" applyFont="1" applyFill="1" applyBorder="1" applyAlignment="1">
      <alignment horizontal="center" vertical="center" wrapText="1"/>
    </xf>
    <xf numFmtId="1" fontId="9" fillId="2" borderId="6" xfId="0" applyNumberFormat="1" applyFont="1" applyFill="1" applyBorder="1" applyAlignment="1">
      <alignment horizontal="center" vertical="center" wrapText="1"/>
    </xf>
    <xf numFmtId="1" fontId="8" fillId="11" borderId="6" xfId="0" applyNumberFormat="1" applyFont="1" applyFill="1" applyBorder="1" applyAlignment="1">
      <alignment horizontal="center" vertical="center" wrapText="1"/>
    </xf>
    <xf numFmtId="1" fontId="8" fillId="0" borderId="6" xfId="0" applyNumberFormat="1" applyFont="1" applyBorder="1" applyAlignment="1">
      <alignment horizontal="center" vertical="center" wrapText="1"/>
    </xf>
    <xf numFmtId="1" fontId="12" fillId="6" borderId="6" xfId="0" applyNumberFormat="1" applyFont="1" applyFill="1" applyBorder="1" applyAlignment="1">
      <alignment horizontal="center" vertical="center" wrapText="1"/>
    </xf>
    <xf numFmtId="1" fontId="8" fillId="10" borderId="6" xfId="0" applyNumberFormat="1" applyFont="1" applyFill="1" applyBorder="1" applyAlignment="1">
      <alignment horizontal="center" vertical="center" wrapText="1"/>
    </xf>
    <xf numFmtId="1" fontId="8" fillId="0" borderId="6" xfId="0" applyNumberFormat="1" applyFont="1" applyBorder="1" applyAlignment="1">
      <alignment horizontal="center" vertical="center"/>
    </xf>
    <xf numFmtId="1" fontId="13" fillId="0" borderId="6" xfId="0" applyNumberFormat="1" applyFont="1" applyBorder="1" applyAlignment="1">
      <alignment horizontal="center" vertical="center"/>
    </xf>
    <xf numFmtId="1" fontId="8" fillId="23" borderId="6" xfId="0" applyNumberFormat="1" applyFont="1" applyFill="1" applyBorder="1" applyAlignment="1">
      <alignment horizontal="center" vertical="center"/>
    </xf>
    <xf numFmtId="1" fontId="8" fillId="25" borderId="6" xfId="0" applyNumberFormat="1" applyFont="1" applyFill="1" applyBorder="1" applyAlignment="1">
      <alignment horizontal="center" vertical="center"/>
    </xf>
    <xf numFmtId="1" fontId="8" fillId="2" borderId="6" xfId="0" applyNumberFormat="1" applyFont="1" applyFill="1" applyBorder="1" applyAlignment="1">
      <alignment horizontal="center" vertical="center"/>
    </xf>
    <xf numFmtId="1" fontId="8" fillId="2" borderId="10" xfId="0" applyNumberFormat="1" applyFont="1" applyFill="1" applyBorder="1" applyAlignment="1">
      <alignment horizontal="center" vertical="center"/>
    </xf>
    <xf numFmtId="1" fontId="9" fillId="11" borderId="6" xfId="0" applyNumberFormat="1" applyFont="1" applyFill="1" applyBorder="1" applyAlignment="1">
      <alignment horizontal="center" vertical="center"/>
    </xf>
    <xf numFmtId="1" fontId="8" fillId="10" borderId="6" xfId="0" applyNumberFormat="1" applyFont="1" applyFill="1" applyBorder="1" applyAlignment="1">
      <alignment horizontal="center" vertical="center"/>
    </xf>
    <xf numFmtId="1" fontId="8" fillId="2" borderId="14" xfId="0" applyNumberFormat="1" applyFont="1" applyFill="1" applyBorder="1" applyAlignment="1">
      <alignment horizontal="center" vertical="center" wrapText="1"/>
    </xf>
    <xf numFmtId="1" fontId="9" fillId="6" borderId="14" xfId="0" applyNumberFormat="1" applyFont="1" applyFill="1" applyBorder="1" applyAlignment="1">
      <alignment horizontal="center" vertical="center"/>
    </xf>
    <xf numFmtId="1" fontId="9" fillId="0" borderId="14" xfId="0" applyNumberFormat="1" applyFont="1" applyBorder="1" applyAlignment="1">
      <alignment horizontal="center" vertical="center"/>
    </xf>
    <xf numFmtId="1" fontId="9" fillId="10" borderId="14" xfId="0" applyNumberFormat="1" applyFont="1" applyFill="1" applyBorder="1" applyAlignment="1">
      <alignment horizontal="center" vertical="center"/>
    </xf>
    <xf numFmtId="1" fontId="12" fillId="2" borderId="14" xfId="0" applyNumberFormat="1" applyFont="1" applyFill="1" applyBorder="1" applyAlignment="1">
      <alignment horizontal="center" vertical="center"/>
    </xf>
    <xf numFmtId="1" fontId="8" fillId="11" borderId="14" xfId="0" applyNumberFormat="1" applyFont="1" applyFill="1" applyBorder="1" applyAlignment="1">
      <alignment horizontal="center" vertical="center"/>
    </xf>
    <xf numFmtId="1" fontId="8" fillId="6" borderId="14" xfId="0" applyNumberFormat="1" applyFont="1" applyFill="1" applyBorder="1" applyAlignment="1">
      <alignment horizontal="center" vertical="center" wrapText="1"/>
    </xf>
    <xf numFmtId="1" fontId="12" fillId="0" borderId="14" xfId="0" applyNumberFormat="1" applyFont="1" applyBorder="1" applyAlignment="1">
      <alignment horizontal="center" vertical="center"/>
    </xf>
    <xf numFmtId="1" fontId="8" fillId="6" borderId="14" xfId="0" applyNumberFormat="1" applyFont="1" applyFill="1" applyBorder="1" applyAlignment="1">
      <alignment horizontal="center" vertical="center"/>
    </xf>
    <xf numFmtId="1" fontId="52" fillId="2" borderId="14" xfId="0" applyNumberFormat="1" applyFont="1" applyFill="1" applyBorder="1" applyAlignment="1">
      <alignment horizontal="center" vertical="center" wrapText="1"/>
    </xf>
    <xf numFmtId="1" fontId="52" fillId="11" borderId="14" xfId="0" applyNumberFormat="1" applyFont="1" applyFill="1" applyBorder="1" applyAlignment="1">
      <alignment horizontal="center" vertical="center" wrapText="1"/>
    </xf>
    <xf numFmtId="1" fontId="9" fillId="2" borderId="14" xfId="0" applyNumberFormat="1" applyFont="1" applyFill="1" applyBorder="1" applyAlignment="1">
      <alignment horizontal="center" vertical="center" wrapText="1"/>
    </xf>
    <xf numFmtId="1" fontId="8" fillId="11" borderId="14" xfId="0" applyNumberFormat="1" applyFont="1" applyFill="1" applyBorder="1" applyAlignment="1">
      <alignment horizontal="center" vertical="center" wrapText="1"/>
    </xf>
    <xf numFmtId="1" fontId="8" fillId="0" borderId="14" xfId="0" applyNumberFormat="1" applyFont="1" applyBorder="1" applyAlignment="1">
      <alignment horizontal="center" vertical="center" wrapText="1"/>
    </xf>
    <xf numFmtId="1" fontId="12" fillId="6" borderId="14" xfId="0" applyNumberFormat="1" applyFont="1" applyFill="1" applyBorder="1" applyAlignment="1">
      <alignment horizontal="center" vertical="center" wrapText="1"/>
    </xf>
    <xf numFmtId="1" fontId="8" fillId="10" borderId="14" xfId="0" applyNumberFormat="1" applyFont="1" applyFill="1" applyBorder="1" applyAlignment="1">
      <alignment horizontal="center" vertical="center" wrapText="1"/>
    </xf>
    <xf numFmtId="1" fontId="8" fillId="0" borderId="14" xfId="0" applyNumberFormat="1" applyFont="1" applyBorder="1" applyAlignment="1">
      <alignment horizontal="center" vertical="center"/>
    </xf>
    <xf numFmtId="1" fontId="13" fillId="0" borderId="14" xfId="0" applyNumberFormat="1" applyFont="1" applyBorder="1" applyAlignment="1">
      <alignment horizontal="center" vertical="center"/>
    </xf>
    <xf numFmtId="1" fontId="8" fillId="23" borderId="14" xfId="0" applyNumberFormat="1" applyFont="1" applyFill="1" applyBorder="1" applyAlignment="1">
      <alignment horizontal="center" vertical="center"/>
    </xf>
    <xf numFmtId="1" fontId="8" fillId="25" borderId="14" xfId="0" applyNumberFormat="1" applyFont="1" applyFill="1" applyBorder="1" applyAlignment="1">
      <alignment horizontal="center" vertical="center"/>
    </xf>
    <xf numFmtId="1" fontId="8" fillId="2" borderId="14" xfId="0" applyNumberFormat="1" applyFont="1" applyFill="1" applyBorder="1" applyAlignment="1">
      <alignment horizontal="center" vertical="center"/>
    </xf>
    <xf numFmtId="1" fontId="8" fillId="2" borderId="25" xfId="0" applyNumberFormat="1" applyFont="1" applyFill="1" applyBorder="1" applyAlignment="1">
      <alignment horizontal="center" vertical="center"/>
    </xf>
    <xf numFmtId="1" fontId="9" fillId="11" borderId="14" xfId="0" applyNumberFormat="1" applyFont="1" applyFill="1" applyBorder="1" applyAlignment="1">
      <alignment horizontal="center" vertical="center"/>
    </xf>
    <xf numFmtId="1" fontId="8" fillId="10" borderId="14" xfId="0" applyNumberFormat="1" applyFont="1" applyFill="1" applyBorder="1" applyAlignment="1">
      <alignment horizontal="center" vertical="center"/>
    </xf>
    <xf numFmtId="2" fontId="8" fillId="10" borderId="26" xfId="0" applyNumberFormat="1" applyFont="1" applyFill="1" applyBorder="1" applyAlignment="1">
      <alignment horizontal="center" vertical="center" wrapText="1"/>
    </xf>
    <xf numFmtId="2" fontId="9" fillId="10" borderId="27" xfId="0" applyNumberFormat="1" applyFont="1" applyFill="1" applyBorder="1" applyAlignment="1">
      <alignment horizontal="center" vertical="center"/>
    </xf>
    <xf numFmtId="2" fontId="12" fillId="10" borderId="27" xfId="0" applyNumberFormat="1" applyFont="1" applyFill="1" applyBorder="1" applyAlignment="1">
      <alignment horizontal="center" vertical="center"/>
    </xf>
    <xf numFmtId="2" fontId="8" fillId="10" borderId="27" xfId="0" applyNumberFormat="1" applyFont="1" applyFill="1" applyBorder="1" applyAlignment="1">
      <alignment horizontal="center" vertical="center"/>
    </xf>
    <xf numFmtId="2" fontId="8" fillId="10" borderId="27" xfId="0" applyNumberFormat="1" applyFont="1" applyFill="1" applyBorder="1" applyAlignment="1">
      <alignment horizontal="center" vertical="center" wrapText="1"/>
    </xf>
    <xf numFmtId="2" fontId="13" fillId="10" borderId="27" xfId="0" applyNumberFormat="1" applyFont="1" applyFill="1" applyBorder="1" applyAlignment="1">
      <alignment horizontal="center" vertical="center"/>
    </xf>
    <xf numFmtId="2" fontId="52" fillId="10" borderId="27" xfId="0" applyNumberFormat="1" applyFont="1" applyFill="1" applyBorder="1" applyAlignment="1">
      <alignment horizontal="center" vertical="center" wrapText="1"/>
    </xf>
    <xf numFmtId="2" fontId="9" fillId="10" borderId="27" xfId="0" applyNumberFormat="1" applyFont="1" applyFill="1" applyBorder="1" applyAlignment="1">
      <alignment horizontal="center" vertical="center" wrapText="1"/>
    </xf>
    <xf numFmtId="2" fontId="12" fillId="10" borderId="27" xfId="0" applyNumberFormat="1" applyFont="1" applyFill="1" applyBorder="1" applyAlignment="1">
      <alignment horizontal="center" vertical="center" wrapText="1"/>
    </xf>
    <xf numFmtId="2" fontId="73" fillId="10" borderId="27" xfId="0" applyNumberFormat="1" applyFont="1" applyFill="1" applyBorder="1" applyAlignment="1">
      <alignment horizontal="center" vertical="center" wrapText="1"/>
    </xf>
    <xf numFmtId="2" fontId="8" fillId="10" borderId="28" xfId="0" applyNumberFormat="1" applyFont="1" applyFill="1" applyBorder="1" applyAlignment="1">
      <alignment horizontal="center" vertical="center"/>
    </xf>
    <xf numFmtId="2" fontId="8" fillId="20" borderId="26" xfId="0" applyNumberFormat="1" applyFont="1" applyFill="1" applyBorder="1" applyAlignment="1">
      <alignment horizontal="center" vertical="center" wrapText="1"/>
    </xf>
    <xf numFmtId="2" fontId="9" fillId="20" borderId="27" xfId="0" applyNumberFormat="1" applyFont="1" applyFill="1" applyBorder="1" applyAlignment="1">
      <alignment horizontal="center" vertical="center"/>
    </xf>
    <xf numFmtId="2" fontId="12" fillId="20" borderId="27" xfId="0" applyNumberFormat="1" applyFont="1" applyFill="1" applyBorder="1" applyAlignment="1">
      <alignment horizontal="center" vertical="center"/>
    </xf>
    <xf numFmtId="2" fontId="8" fillId="20" borderId="27" xfId="0" applyNumberFormat="1" applyFont="1" applyFill="1" applyBorder="1" applyAlignment="1">
      <alignment horizontal="center" vertical="center"/>
    </xf>
    <xf numFmtId="2" fontId="8" fillId="20" borderId="27" xfId="0" applyNumberFormat="1" applyFont="1" applyFill="1" applyBorder="1" applyAlignment="1">
      <alignment horizontal="center" vertical="center" wrapText="1"/>
    </xf>
    <xf numFmtId="2" fontId="13" fillId="20" borderId="27" xfId="0" applyNumberFormat="1" applyFont="1" applyFill="1" applyBorder="1" applyAlignment="1">
      <alignment horizontal="center" vertical="center"/>
    </xf>
    <xf numFmtId="2" fontId="52" fillId="20" borderId="27" xfId="0" applyNumberFormat="1" applyFont="1" applyFill="1" applyBorder="1" applyAlignment="1">
      <alignment horizontal="center" vertical="center" wrapText="1"/>
    </xf>
    <xf numFmtId="2" fontId="9" fillId="20" borderId="27" xfId="0" applyNumberFormat="1" applyFont="1" applyFill="1" applyBorder="1" applyAlignment="1">
      <alignment horizontal="center" vertical="center" wrapText="1"/>
    </xf>
    <xf numFmtId="2" fontId="12" fillId="20" borderId="27" xfId="0" applyNumberFormat="1" applyFont="1" applyFill="1" applyBorder="1" applyAlignment="1">
      <alignment horizontal="center" vertical="center" wrapText="1"/>
    </xf>
    <xf numFmtId="2" fontId="73" fillId="20" borderId="27" xfId="0" applyNumberFormat="1" applyFont="1" applyFill="1" applyBorder="1" applyAlignment="1">
      <alignment horizontal="center" vertical="center" wrapText="1"/>
    </xf>
    <xf numFmtId="2" fontId="8" fillId="20" borderId="28" xfId="0" applyNumberFormat="1" applyFont="1" applyFill="1" applyBorder="1" applyAlignment="1">
      <alignment horizontal="center" vertical="center"/>
    </xf>
    <xf numFmtId="0" fontId="9" fillId="0" borderId="7" xfId="0" applyFont="1" applyBorder="1" applyAlignment="1">
      <alignment horizontal="center" vertical="center" wrapText="1"/>
    </xf>
    <xf numFmtId="0" fontId="1" fillId="11" borderId="1" xfId="0" applyFont="1" applyFill="1" applyBorder="1" applyAlignment="1">
      <alignment vertical="top" wrapText="1"/>
    </xf>
    <xf numFmtId="49" fontId="8" fillId="6" borderId="1" xfId="0" applyNumberFormat="1" applyFont="1" applyFill="1" applyBorder="1" applyAlignment="1">
      <alignment horizontal="center" vertical="center"/>
    </xf>
    <xf numFmtId="49" fontId="9" fillId="6" borderId="1" xfId="0" applyNumberFormat="1" applyFont="1" applyFill="1" applyBorder="1" applyAlignment="1">
      <alignment horizontal="center" vertical="center"/>
    </xf>
    <xf numFmtId="49" fontId="8" fillId="0" borderId="1" xfId="0" applyNumberFormat="1" applyFont="1" applyBorder="1" applyAlignment="1">
      <alignment horizontal="left" vertical="top" wrapText="1"/>
    </xf>
    <xf numFmtId="1" fontId="9" fillId="0" borderId="14" xfId="0" applyNumberFormat="1" applyFont="1" applyBorder="1" applyAlignment="1">
      <alignment horizontal="center" vertical="center" wrapText="1"/>
    </xf>
    <xf numFmtId="1" fontId="9" fillId="0" borderId="6" xfId="0" applyNumberFormat="1" applyFont="1" applyBorder="1" applyAlignment="1">
      <alignment horizontal="center" vertical="center" wrapText="1"/>
    </xf>
    <xf numFmtId="49" fontId="8" fillId="0" borderId="1" xfId="0" applyNumberFormat="1" applyFont="1" applyBorder="1" applyAlignment="1">
      <alignment horizontal="left" vertical="top" wrapText="1" readingOrder="1"/>
    </xf>
    <xf numFmtId="0" fontId="8" fillId="0" borderId="1" xfId="0" applyFont="1" applyBorder="1" applyAlignment="1">
      <alignment horizontal="center" vertical="top" wrapText="1"/>
    </xf>
    <xf numFmtId="1" fontId="12" fillId="0" borderId="14" xfId="0" applyNumberFormat="1" applyFont="1" applyBorder="1" applyAlignment="1">
      <alignment horizontal="center" vertical="center" wrapText="1"/>
    </xf>
    <xf numFmtId="2" fontId="12" fillId="0" borderId="1" xfId="0" applyNumberFormat="1" applyFont="1" applyBorder="1" applyAlignment="1">
      <alignment horizontal="center" vertical="center" wrapText="1"/>
    </xf>
    <xf numFmtId="0" fontId="1" fillId="0" borderId="1" xfId="0" applyFont="1" applyBorder="1" applyAlignment="1">
      <alignment horizontal="left" vertical="top" wrapText="1"/>
    </xf>
    <xf numFmtId="49" fontId="8" fillId="0" borderId="7" xfId="0" applyNumberFormat="1" applyFont="1" applyBorder="1" applyAlignment="1">
      <alignment horizontal="center" vertical="center" wrapText="1"/>
    </xf>
    <xf numFmtId="2" fontId="8" fillId="0" borderId="7" xfId="0" applyNumberFormat="1" applyFont="1" applyBorder="1" applyAlignment="1">
      <alignment horizontal="center" vertical="center" wrapText="1"/>
    </xf>
    <xf numFmtId="0" fontId="9" fillId="0" borderId="1" xfId="0" applyFont="1" applyBorder="1" applyAlignment="1">
      <alignment horizontal="center" vertical="top" wrapText="1"/>
    </xf>
    <xf numFmtId="0" fontId="1" fillId="0" borderId="1" xfId="0" applyFont="1" applyBorder="1" applyAlignment="1">
      <alignment vertical="top" wrapText="1"/>
    </xf>
    <xf numFmtId="49" fontId="74" fillId="0" borderId="1" xfId="0" applyNumberFormat="1" applyFont="1" applyBorder="1" applyAlignment="1">
      <alignment horizontal="center" vertical="center" wrapText="1"/>
    </xf>
    <xf numFmtId="49" fontId="75" fillId="0" borderId="1" xfId="0" applyNumberFormat="1" applyFont="1" applyBorder="1" applyAlignment="1">
      <alignment horizontal="center" vertical="center" wrapText="1"/>
    </xf>
    <xf numFmtId="0" fontId="75" fillId="0" borderId="1" xfId="0" applyFont="1" applyBorder="1" applyAlignment="1">
      <alignment horizontal="left" vertical="top" wrapText="1"/>
    </xf>
    <xf numFmtId="0" fontId="75" fillId="0" borderId="1" xfId="0" applyFont="1" applyBorder="1" applyAlignment="1">
      <alignment horizontal="center" vertical="center" wrapText="1"/>
    </xf>
    <xf numFmtId="0" fontId="14" fillId="0" borderId="0" xfId="0" applyFont="1" applyAlignment="1">
      <alignment horizontal="center" vertical="center" wrapText="1"/>
    </xf>
    <xf numFmtId="0" fontId="78" fillId="0" borderId="0" xfId="0" applyFont="1" applyAlignment="1">
      <alignment horizontal="left" vertical="top" wrapText="1"/>
    </xf>
    <xf numFmtId="49" fontId="8" fillId="0" borderId="3" xfId="0" applyNumberFormat="1" applyFont="1" applyBorder="1" applyAlignment="1">
      <alignment horizontal="center" vertical="center" wrapText="1"/>
    </xf>
    <xf numFmtId="49" fontId="8" fillId="0" borderId="7" xfId="0" applyNumberFormat="1" applyFont="1" applyBorder="1" applyAlignment="1">
      <alignment horizontal="left" vertical="top" wrapText="1" readingOrder="1"/>
    </xf>
    <xf numFmtId="49" fontId="8" fillId="0" borderId="2" xfId="0" applyNumberFormat="1" applyFont="1" applyBorder="1" applyAlignment="1">
      <alignment horizontal="left" vertical="top" wrapText="1" readingOrder="1"/>
    </xf>
    <xf numFmtId="49" fontId="8" fillId="0" borderId="3" xfId="0" applyNumberFormat="1" applyFont="1" applyBorder="1" applyAlignment="1">
      <alignment horizontal="left" vertical="top" wrapText="1" readingOrder="1"/>
    </xf>
    <xf numFmtId="0" fontId="9" fillId="0" borderId="10" xfId="0" applyFont="1" applyBorder="1" applyAlignment="1">
      <alignment horizontal="center" vertical="center" wrapText="1"/>
    </xf>
    <xf numFmtId="1" fontId="12" fillId="2" borderId="14" xfId="0" applyNumberFormat="1" applyFont="1" applyFill="1" applyBorder="1" applyAlignment="1">
      <alignment horizontal="center" vertical="center" wrapText="1"/>
    </xf>
    <xf numFmtId="2" fontId="12" fillId="2" borderId="1" xfId="0" applyNumberFormat="1" applyFont="1" applyFill="1" applyBorder="1" applyAlignment="1">
      <alignment horizontal="center" vertical="center" wrapText="1"/>
    </xf>
    <xf numFmtId="1" fontId="9" fillId="10" borderId="14" xfId="0" applyNumberFormat="1" applyFont="1" applyFill="1" applyBorder="1" applyAlignment="1">
      <alignment horizontal="center" vertical="center" wrapText="1"/>
    </xf>
    <xf numFmtId="1" fontId="9" fillId="10" borderId="6" xfId="0" applyNumberFormat="1" applyFont="1" applyFill="1" applyBorder="1" applyAlignment="1">
      <alignment horizontal="center" vertical="center" wrapText="1"/>
    </xf>
    <xf numFmtId="2" fontId="9" fillId="10" borderId="1" xfId="0" applyNumberFormat="1" applyFont="1" applyFill="1" applyBorder="1" applyAlignment="1">
      <alignment horizontal="center" vertical="center" wrapText="1"/>
    </xf>
    <xf numFmtId="1" fontId="13" fillId="10" borderId="14" xfId="0" applyNumberFormat="1" applyFont="1" applyFill="1" applyBorder="1" applyAlignment="1">
      <alignment horizontal="center" vertical="center" wrapText="1"/>
    </xf>
    <xf numFmtId="2" fontId="13" fillId="20" borderId="27" xfId="0" applyNumberFormat="1" applyFont="1" applyFill="1" applyBorder="1" applyAlignment="1">
      <alignment horizontal="center" vertical="center" wrapText="1"/>
    </xf>
    <xf numFmtId="2" fontId="13" fillId="10" borderId="27" xfId="0" applyNumberFormat="1" applyFont="1" applyFill="1" applyBorder="1" applyAlignment="1">
      <alignment horizontal="center" vertical="center" wrapText="1"/>
    </xf>
    <xf numFmtId="2" fontId="13" fillId="10" borderId="1" xfId="0" applyNumberFormat="1" applyFont="1" applyFill="1" applyBorder="1" applyAlignment="1">
      <alignment horizontal="center" vertical="center" wrapText="1"/>
    </xf>
    <xf numFmtId="1" fontId="9" fillId="6" borderId="14" xfId="0" applyNumberFormat="1" applyFont="1" applyFill="1" applyBorder="1" applyAlignment="1">
      <alignment horizontal="center" vertical="center" wrapText="1"/>
    </xf>
    <xf numFmtId="1" fontId="9" fillId="6" borderId="6" xfId="0" applyNumberFormat="1" applyFont="1" applyFill="1" applyBorder="1" applyAlignment="1">
      <alignment horizontal="center" vertical="center" wrapText="1"/>
    </xf>
    <xf numFmtId="2" fontId="9" fillId="6" borderId="1" xfId="0" applyNumberFormat="1" applyFont="1" applyFill="1" applyBorder="1" applyAlignment="1">
      <alignment horizontal="center" vertical="center" wrapText="1"/>
    </xf>
    <xf numFmtId="0" fontId="1" fillId="2" borderId="1" xfId="0" applyFont="1" applyFill="1" applyBorder="1" applyAlignment="1">
      <alignment wrapText="1"/>
    </xf>
    <xf numFmtId="0" fontId="8" fillId="2" borderId="7" xfId="0" applyFont="1" applyFill="1" applyBorder="1" applyAlignment="1">
      <alignment horizontal="center" vertical="center" wrapText="1"/>
    </xf>
    <xf numFmtId="1" fontId="8" fillId="2" borderId="25" xfId="0" applyNumberFormat="1" applyFont="1" applyFill="1" applyBorder="1" applyAlignment="1">
      <alignment horizontal="center" vertical="center" wrapText="1"/>
    </xf>
    <xf numFmtId="2" fontId="8" fillId="20" borderId="28" xfId="0" applyNumberFormat="1" applyFont="1" applyFill="1" applyBorder="1" applyAlignment="1">
      <alignment horizontal="center" vertical="center" wrapText="1"/>
    </xf>
    <xf numFmtId="2" fontId="8" fillId="10" borderId="28" xfId="0" applyNumberFormat="1" applyFont="1" applyFill="1" applyBorder="1" applyAlignment="1">
      <alignment horizontal="center" vertical="center" wrapText="1"/>
    </xf>
    <xf numFmtId="1" fontId="8" fillId="2" borderId="10" xfId="0" applyNumberFormat="1" applyFont="1" applyFill="1" applyBorder="1" applyAlignment="1">
      <alignment horizontal="center" vertical="center" wrapText="1"/>
    </xf>
    <xf numFmtId="1" fontId="12" fillId="8" borderId="14" xfId="0" applyNumberFormat="1" applyFont="1" applyFill="1" applyBorder="1" applyAlignment="1">
      <alignment horizontal="center" vertical="center" wrapText="1"/>
    </xf>
    <xf numFmtId="2" fontId="12" fillId="8" borderId="1" xfId="0" applyNumberFormat="1" applyFont="1" applyFill="1" applyBorder="1" applyAlignment="1">
      <alignment horizontal="center" vertical="center" wrapText="1"/>
    </xf>
    <xf numFmtId="1" fontId="9" fillId="11" borderId="14" xfId="0" applyNumberFormat="1" applyFont="1" applyFill="1" applyBorder="1" applyAlignment="1">
      <alignment horizontal="center" vertical="center" wrapText="1"/>
    </xf>
    <xf numFmtId="1" fontId="9" fillId="11" borderId="6" xfId="0" applyNumberFormat="1" applyFont="1" applyFill="1" applyBorder="1" applyAlignment="1">
      <alignment horizontal="center" vertical="center" wrapText="1"/>
    </xf>
    <xf numFmtId="0" fontId="8" fillId="6" borderId="7" xfId="0" applyFont="1" applyFill="1" applyBorder="1" applyAlignment="1">
      <alignment horizontal="center" vertical="center" wrapText="1"/>
    </xf>
    <xf numFmtId="1" fontId="8" fillId="6" borderId="25" xfId="0" applyNumberFormat="1" applyFont="1" applyFill="1" applyBorder="1" applyAlignment="1">
      <alignment horizontal="center" vertical="center" wrapText="1"/>
    </xf>
    <xf numFmtId="1" fontId="8" fillId="6" borderId="10" xfId="0" applyNumberFormat="1" applyFont="1" applyFill="1" applyBorder="1" applyAlignment="1">
      <alignment horizontal="center" vertical="center" wrapText="1"/>
    </xf>
    <xf numFmtId="2" fontId="8" fillId="6" borderId="2" xfId="0" applyNumberFormat="1" applyFont="1" applyFill="1" applyBorder="1" applyAlignment="1">
      <alignment horizontal="center" vertical="center" wrapText="1"/>
    </xf>
    <xf numFmtId="2" fontId="8" fillId="6" borderId="3" xfId="0" applyNumberFormat="1" applyFont="1" applyFill="1" applyBorder="1" applyAlignment="1">
      <alignment horizontal="center" vertical="center" wrapText="1"/>
    </xf>
    <xf numFmtId="0" fontId="9" fillId="0" borderId="0" xfId="0" applyFont="1" applyAlignment="1">
      <alignment horizontal="center" vertical="center" wrapText="1"/>
    </xf>
    <xf numFmtId="1" fontId="9" fillId="0" borderId="0" xfId="0" applyNumberFormat="1" applyFont="1" applyAlignment="1">
      <alignment horizontal="center" vertical="center" wrapText="1"/>
    </xf>
    <xf numFmtId="2" fontId="9" fillId="20" borderId="30" xfId="0" applyNumberFormat="1" applyFont="1" applyFill="1" applyBorder="1" applyAlignment="1">
      <alignment horizontal="center" vertical="center" wrapText="1"/>
    </xf>
    <xf numFmtId="2" fontId="9" fillId="10" borderId="30" xfId="0" applyNumberFormat="1" applyFont="1" applyFill="1" applyBorder="1" applyAlignment="1">
      <alignment horizontal="center" vertical="center" wrapText="1"/>
    </xf>
    <xf numFmtId="2" fontId="31" fillId="2" borderId="0" xfId="0" applyNumberFormat="1" applyFont="1" applyFill="1" applyAlignment="1">
      <alignment horizontal="center" vertical="center" wrapText="1"/>
    </xf>
    <xf numFmtId="2" fontId="9" fillId="0" borderId="0" xfId="0" applyNumberFormat="1" applyFont="1" applyAlignment="1">
      <alignment horizontal="center" vertical="center" wrapText="1"/>
    </xf>
    <xf numFmtId="1" fontId="12" fillId="0" borderId="4" xfId="0" applyNumberFormat="1" applyFont="1" applyBorder="1" applyAlignment="1">
      <alignment horizontal="center" vertical="center" wrapText="1"/>
    </xf>
    <xf numFmtId="2" fontId="12" fillId="20" borderId="31" xfId="0" applyNumberFormat="1" applyFont="1" applyFill="1" applyBorder="1" applyAlignment="1">
      <alignment horizontal="center" vertical="center" wrapText="1"/>
    </xf>
    <xf numFmtId="2" fontId="12" fillId="10" borderId="31" xfId="0" applyNumberFormat="1" applyFont="1" applyFill="1" applyBorder="1" applyAlignment="1">
      <alignment horizontal="center" vertical="center" wrapText="1"/>
    </xf>
    <xf numFmtId="2" fontId="12" fillId="0" borderId="2" xfId="0" applyNumberFormat="1" applyFont="1" applyBorder="1" applyAlignment="1">
      <alignment horizontal="center" vertical="center" wrapText="1"/>
    </xf>
    <xf numFmtId="2" fontId="12" fillId="2" borderId="2" xfId="0" applyNumberFormat="1" applyFont="1" applyFill="1" applyBorder="1" applyAlignment="1">
      <alignment horizontal="center" vertical="center" wrapText="1"/>
    </xf>
    <xf numFmtId="1" fontId="9" fillId="0" borderId="15" xfId="0" applyNumberFormat="1" applyFont="1" applyBorder="1" applyAlignment="1">
      <alignment horizontal="center" vertical="center" wrapText="1"/>
    </xf>
    <xf numFmtId="2" fontId="9" fillId="20" borderId="32" xfId="0" applyNumberFormat="1" applyFont="1" applyFill="1" applyBorder="1" applyAlignment="1">
      <alignment horizontal="center" vertical="center" wrapText="1"/>
    </xf>
    <xf numFmtId="2" fontId="9" fillId="10" borderId="32" xfId="0" applyNumberFormat="1" applyFont="1" applyFill="1" applyBorder="1" applyAlignment="1">
      <alignment horizontal="center" vertical="center" wrapText="1"/>
    </xf>
    <xf numFmtId="1" fontId="9" fillId="0" borderId="12" xfId="0" applyNumberFormat="1" applyFont="1" applyBorder="1" applyAlignment="1">
      <alignment horizontal="center" vertical="center" wrapText="1"/>
    </xf>
    <xf numFmtId="2" fontId="9" fillId="0" borderId="8" xfId="0" applyNumberFormat="1" applyFont="1" applyBorder="1" applyAlignment="1">
      <alignment horizontal="center" vertical="center" wrapText="1"/>
    </xf>
    <xf numFmtId="2" fontId="8" fillId="7" borderId="1" xfId="0" applyNumberFormat="1" applyFont="1" applyFill="1" applyBorder="1" applyAlignment="1">
      <alignment horizontal="center" vertical="center" wrapText="1"/>
    </xf>
    <xf numFmtId="49" fontId="96" fillId="2" borderId="1" xfId="0" applyNumberFormat="1" applyFont="1" applyFill="1" applyBorder="1" applyAlignment="1">
      <alignment horizontal="center" vertical="center" wrapText="1"/>
    </xf>
    <xf numFmtId="0" fontId="96" fillId="0" borderId="1" xfId="0" applyFont="1" applyBorder="1" applyAlignment="1">
      <alignment horizontal="center" vertical="center" wrapText="1"/>
    </xf>
    <xf numFmtId="0" fontId="97" fillId="2" borderId="1" xfId="0" applyFont="1" applyFill="1" applyBorder="1" applyAlignment="1">
      <alignment horizontal="center" vertical="center" wrapText="1"/>
    </xf>
    <xf numFmtId="0" fontId="96" fillId="10" borderId="1" xfId="0" applyFont="1" applyFill="1" applyBorder="1" applyAlignment="1">
      <alignment horizontal="center" vertical="center" wrapText="1"/>
    </xf>
    <xf numFmtId="0" fontId="96" fillId="2" borderId="1" xfId="0" applyFont="1" applyFill="1" applyBorder="1" applyAlignment="1">
      <alignment horizontal="center" vertical="center" wrapText="1"/>
    </xf>
    <xf numFmtId="0" fontId="96" fillId="0" borderId="1" xfId="0" applyFont="1" applyBorder="1" applyAlignment="1">
      <alignment horizontal="center" vertical="center" wrapText="1" readingOrder="1"/>
    </xf>
    <xf numFmtId="0" fontId="96" fillId="0" borderId="8" xfId="0" applyFont="1" applyBorder="1" applyAlignment="1">
      <alignment horizontal="center" vertical="center" wrapText="1"/>
    </xf>
    <xf numFmtId="0" fontId="97" fillId="10" borderId="1" xfId="0" applyFont="1" applyFill="1" applyBorder="1" applyAlignment="1">
      <alignment horizontal="center" vertical="center" wrapText="1" readingOrder="1"/>
    </xf>
    <xf numFmtId="0" fontId="97" fillId="10" borderId="1" xfId="0" applyFont="1" applyFill="1" applyBorder="1" applyAlignment="1">
      <alignment horizontal="center" vertical="center" wrapText="1"/>
    </xf>
    <xf numFmtId="0" fontId="98" fillId="2" borderId="1" xfId="0" applyFont="1" applyFill="1" applyBorder="1" applyAlignment="1">
      <alignment horizontal="center" vertical="center" wrapText="1"/>
    </xf>
    <xf numFmtId="0" fontId="96" fillId="11" borderId="1" xfId="0" applyFont="1" applyFill="1" applyBorder="1" applyAlignment="1">
      <alignment horizontal="center" vertical="center" wrapText="1"/>
    </xf>
    <xf numFmtId="0" fontId="96" fillId="6" borderId="1" xfId="0" applyFont="1" applyFill="1" applyBorder="1" applyAlignment="1">
      <alignment horizontal="center" vertical="center" wrapText="1"/>
    </xf>
    <xf numFmtId="0" fontId="97" fillId="6" borderId="1" xfId="0" applyFont="1" applyFill="1" applyBorder="1" applyAlignment="1">
      <alignment horizontal="center" vertical="center" wrapText="1"/>
    </xf>
    <xf numFmtId="49" fontId="96" fillId="2" borderId="7" xfId="0" applyNumberFormat="1" applyFont="1" applyFill="1" applyBorder="1" applyAlignment="1">
      <alignment horizontal="center" vertical="center" wrapText="1"/>
    </xf>
    <xf numFmtId="49" fontId="96" fillId="11" borderId="1" xfId="0" applyNumberFormat="1" applyFont="1" applyFill="1" applyBorder="1" applyAlignment="1">
      <alignment horizontal="center" vertical="center" wrapText="1"/>
    </xf>
    <xf numFmtId="0" fontId="97" fillId="0" borderId="1" xfId="0" applyFont="1" applyBorder="1" applyAlignment="1">
      <alignment horizontal="center" vertical="center" wrapText="1"/>
    </xf>
    <xf numFmtId="0" fontId="97" fillId="8" borderId="1" xfId="0" applyFont="1" applyFill="1" applyBorder="1" applyAlignment="1">
      <alignment horizontal="center" vertical="center" wrapText="1"/>
    </xf>
    <xf numFmtId="0" fontId="96" fillId="6" borderId="2" xfId="0" applyFont="1" applyFill="1" applyBorder="1" applyAlignment="1">
      <alignment horizontal="center" vertical="center" wrapText="1"/>
    </xf>
    <xf numFmtId="0" fontId="96" fillId="6" borderId="3" xfId="0" applyFont="1" applyFill="1" applyBorder="1" applyAlignment="1">
      <alignment horizontal="center" vertical="center" wrapText="1"/>
    </xf>
    <xf numFmtId="0" fontId="96" fillId="0" borderId="15" xfId="0" applyFont="1" applyBorder="1" applyAlignment="1">
      <alignment horizontal="center" vertical="center" wrapText="1"/>
    </xf>
    <xf numFmtId="0" fontId="96" fillId="0" borderId="14" xfId="0" applyFont="1" applyBorder="1" applyAlignment="1">
      <alignment horizontal="center" vertical="center" wrapText="1"/>
    </xf>
    <xf numFmtId="49" fontId="96" fillId="0" borderId="1" xfId="0" applyNumberFormat="1" applyFont="1" applyBorder="1" applyAlignment="1">
      <alignment horizontal="center" vertical="center" wrapText="1"/>
    </xf>
    <xf numFmtId="49" fontId="96" fillId="0" borderId="7" xfId="0" applyNumberFormat="1" applyFont="1" applyBorder="1" applyAlignment="1">
      <alignment horizontal="center" vertical="center" wrapText="1"/>
    </xf>
    <xf numFmtId="1" fontId="13" fillId="0" borderId="14" xfId="0" applyNumberFormat="1" applyFont="1" applyBorder="1" applyAlignment="1">
      <alignment horizontal="center" vertical="center" wrapText="1"/>
    </xf>
    <xf numFmtId="2" fontId="13" fillId="0" borderId="1" xfId="0" applyNumberFormat="1" applyFont="1" applyBorder="1" applyAlignment="1">
      <alignment horizontal="center" vertical="center" wrapText="1"/>
    </xf>
    <xf numFmtId="0" fontId="1" fillId="0" borderId="1" xfId="0" applyFont="1" applyBorder="1" applyAlignment="1">
      <alignment wrapText="1"/>
    </xf>
    <xf numFmtId="0" fontId="8" fillId="0" borderId="7" xfId="0" applyFont="1" applyBorder="1" applyAlignment="1">
      <alignment horizontal="center" vertical="center" wrapText="1"/>
    </xf>
    <xf numFmtId="1" fontId="8" fillId="0" borderId="25" xfId="0" applyNumberFormat="1" applyFont="1" applyBorder="1" applyAlignment="1">
      <alignment horizontal="center" vertical="center" wrapText="1"/>
    </xf>
    <xf numFmtId="1" fontId="8" fillId="0" borderId="10" xfId="0" applyNumberFormat="1" applyFont="1" applyBorder="1" applyAlignment="1">
      <alignment horizontal="center" vertical="center" wrapText="1"/>
    </xf>
    <xf numFmtId="0" fontId="99" fillId="0" borderId="1" xfId="0" applyFont="1" applyBorder="1" applyAlignment="1">
      <alignment horizontal="center" vertical="center" wrapText="1"/>
    </xf>
    <xf numFmtId="1" fontId="75" fillId="0" borderId="14" xfId="0" applyNumberFormat="1" applyFont="1" applyBorder="1" applyAlignment="1">
      <alignment horizontal="center" vertical="center" wrapText="1"/>
    </xf>
    <xf numFmtId="2" fontId="75" fillId="0" borderId="1" xfId="0" applyNumberFormat="1" applyFont="1" applyBorder="1" applyAlignment="1">
      <alignment horizontal="center" vertical="center" wrapText="1"/>
    </xf>
    <xf numFmtId="0" fontId="96" fillId="0" borderId="7" xfId="0" applyFont="1" applyBorder="1" applyAlignment="1">
      <alignment horizontal="center" vertical="center" wrapText="1"/>
    </xf>
    <xf numFmtId="0" fontId="96" fillId="0" borderId="3" xfId="0" applyFont="1" applyBorder="1" applyAlignment="1">
      <alignment horizontal="center" vertical="center" wrapText="1"/>
    </xf>
    <xf numFmtId="1" fontId="8" fillId="0" borderId="5" xfId="0" applyNumberFormat="1" applyFont="1" applyBorder="1" applyAlignment="1">
      <alignment horizontal="center" vertical="center" wrapText="1"/>
    </xf>
    <xf numFmtId="1" fontId="8" fillId="0" borderId="18" xfId="0" applyNumberFormat="1" applyFont="1" applyBorder="1" applyAlignment="1">
      <alignment horizontal="center" vertical="center" wrapText="1"/>
    </xf>
    <xf numFmtId="2" fontId="8" fillId="0" borderId="3" xfId="0" applyNumberFormat="1" applyFont="1" applyBorder="1" applyAlignment="1">
      <alignment horizontal="center" vertical="center" wrapText="1"/>
    </xf>
    <xf numFmtId="0" fontId="96" fillId="0" borderId="2" xfId="0" applyFont="1" applyBorder="1" applyAlignment="1">
      <alignment horizontal="center" vertical="center" wrapText="1"/>
    </xf>
    <xf numFmtId="2" fontId="8" fillId="0" borderId="2" xfId="0" applyNumberFormat="1" applyFont="1" applyBorder="1" applyAlignment="1">
      <alignment horizontal="center" vertical="center" wrapText="1"/>
    </xf>
    <xf numFmtId="0" fontId="9" fillId="6" borderId="7" xfId="0" applyFont="1" applyFill="1" applyBorder="1" applyAlignment="1">
      <alignment horizontal="center" vertical="center" wrapText="1"/>
    </xf>
    <xf numFmtId="49" fontId="101" fillId="2" borderId="1" xfId="0" applyNumberFormat="1" applyFont="1" applyFill="1" applyBorder="1" applyAlignment="1">
      <alignment horizontal="center" vertical="center" wrapText="1"/>
    </xf>
    <xf numFmtId="2" fontId="8" fillId="2" borderId="27" xfId="0" applyNumberFormat="1" applyFont="1" applyFill="1" applyBorder="1" applyAlignment="1">
      <alignment horizontal="center" vertical="center" wrapText="1"/>
    </xf>
    <xf numFmtId="0" fontId="96" fillId="2" borderId="0" xfId="0" applyFont="1" applyFill="1" applyAlignment="1">
      <alignment horizontal="center" vertical="top" wrapText="1"/>
    </xf>
    <xf numFmtId="0" fontId="78" fillId="2" borderId="0" xfId="0" applyFont="1" applyFill="1" applyAlignment="1">
      <alignment horizontal="left" vertical="top" wrapText="1"/>
    </xf>
    <xf numFmtId="0" fontId="1" fillId="2" borderId="0" xfId="0" applyFont="1" applyFill="1" applyAlignment="1">
      <alignment horizontal="left" vertical="top" wrapText="1"/>
    </xf>
    <xf numFmtId="2" fontId="75" fillId="20" borderId="27" xfId="0" applyNumberFormat="1" applyFont="1" applyFill="1" applyBorder="1" applyAlignment="1">
      <alignment horizontal="center" vertical="center" wrapText="1"/>
    </xf>
    <xf numFmtId="2" fontId="8" fillId="20" borderId="29" xfId="0" applyNumberFormat="1" applyFont="1" applyFill="1" applyBorder="1" applyAlignment="1">
      <alignment horizontal="center" vertical="center" wrapText="1"/>
    </xf>
    <xf numFmtId="2" fontId="75" fillId="10" borderId="27" xfId="0" applyNumberFormat="1" applyFont="1" applyFill="1" applyBorder="1" applyAlignment="1">
      <alignment horizontal="center" vertical="center" wrapText="1"/>
    </xf>
    <xf numFmtId="2" fontId="8" fillId="10" borderId="29" xfId="0" applyNumberFormat="1" applyFont="1" applyFill="1" applyBorder="1" applyAlignment="1">
      <alignment horizontal="center" vertical="center" wrapText="1"/>
    </xf>
    <xf numFmtId="1" fontId="12" fillId="10" borderId="14" xfId="0" applyNumberFormat="1" applyFont="1" applyFill="1" applyBorder="1" applyAlignment="1">
      <alignment horizontal="center" vertical="center"/>
    </xf>
    <xf numFmtId="1" fontId="12" fillId="10" borderId="6" xfId="0" applyNumberFormat="1" applyFont="1" applyFill="1" applyBorder="1" applyAlignment="1">
      <alignment horizontal="center" vertical="center"/>
    </xf>
    <xf numFmtId="2" fontId="12" fillId="10" borderId="1" xfId="0" applyNumberFormat="1" applyFont="1" applyFill="1" applyBorder="1" applyAlignment="1">
      <alignment horizontal="center" vertical="center"/>
    </xf>
    <xf numFmtId="0" fontId="12" fillId="10" borderId="1" xfId="0" applyFont="1" applyFill="1" applyBorder="1" applyAlignment="1">
      <alignment horizontal="left" vertical="top" wrapText="1"/>
    </xf>
    <xf numFmtId="0" fontId="0" fillId="0" borderId="6" xfId="0" applyBorder="1"/>
    <xf numFmtId="2" fontId="8" fillId="20" borderId="33" xfId="0" applyNumberFormat="1" applyFont="1" applyFill="1" applyBorder="1" applyAlignment="1">
      <alignment horizontal="center" vertical="center"/>
    </xf>
    <xf numFmtId="2" fontId="8" fillId="10" borderId="34" xfId="0" applyNumberFormat="1" applyFont="1" applyFill="1" applyBorder="1" applyAlignment="1">
      <alignment horizontal="center" vertical="center"/>
    </xf>
    <xf numFmtId="0" fontId="0" fillId="0" borderId="33" xfId="0" applyBorder="1"/>
    <xf numFmtId="0" fontId="0" fillId="0" borderId="34" xfId="0" applyBorder="1"/>
    <xf numFmtId="0" fontId="0" fillId="0" borderId="35" xfId="0" applyBorder="1"/>
    <xf numFmtId="0" fontId="0" fillId="0" borderId="36" xfId="0" applyBorder="1"/>
    <xf numFmtId="49" fontId="72" fillId="6" borderId="1" xfId="0" applyNumberFormat="1" applyFont="1" applyFill="1" applyBorder="1" applyAlignment="1">
      <alignment horizontal="center" vertical="center" wrapText="1"/>
    </xf>
    <xf numFmtId="0" fontId="73" fillId="6" borderId="1" xfId="0" applyFont="1" applyFill="1" applyBorder="1" applyAlignment="1">
      <alignment horizontal="center" vertical="center" wrapText="1"/>
    </xf>
    <xf numFmtId="1" fontId="73" fillId="6" borderId="14" xfId="0" applyNumberFormat="1" applyFont="1" applyFill="1" applyBorder="1" applyAlignment="1">
      <alignment horizontal="center" vertical="center" wrapText="1"/>
    </xf>
    <xf numFmtId="1" fontId="73" fillId="6" borderId="6" xfId="0" applyNumberFormat="1" applyFont="1" applyFill="1" applyBorder="1" applyAlignment="1">
      <alignment horizontal="center" vertical="center" wrapText="1"/>
    </xf>
    <xf numFmtId="2" fontId="73" fillId="6" borderId="1" xfId="0" applyNumberFormat="1" applyFont="1" applyFill="1" applyBorder="1" applyAlignment="1">
      <alignment horizontal="center" vertical="center" wrapText="1"/>
    </xf>
    <xf numFmtId="0" fontId="73" fillId="6" borderId="1" xfId="0" applyFont="1" applyFill="1" applyBorder="1" applyAlignment="1">
      <alignment horizontal="left" vertical="top" wrapText="1"/>
    </xf>
    <xf numFmtId="2" fontId="8" fillId="6" borderId="7" xfId="0" applyNumberFormat="1" applyFont="1" applyFill="1" applyBorder="1" applyAlignment="1">
      <alignment horizontal="center" vertical="center" wrapText="1"/>
    </xf>
    <xf numFmtId="49" fontId="9" fillId="11" borderId="1" xfId="0" applyNumberFormat="1" applyFont="1" applyFill="1" applyBorder="1" applyAlignment="1">
      <alignment horizontal="left" vertical="top" wrapText="1" readingOrder="1"/>
    </xf>
    <xf numFmtId="0" fontId="1" fillId="2" borderId="0" xfId="0" applyFont="1" applyFill="1" applyAlignment="1">
      <alignment vertical="top" wrapText="1"/>
    </xf>
    <xf numFmtId="0" fontId="14" fillId="2" borderId="1" xfId="0" applyFont="1" applyFill="1" applyBorder="1" applyAlignment="1">
      <alignment horizontal="left" vertical="top" wrapText="1"/>
    </xf>
    <xf numFmtId="0" fontId="14" fillId="2" borderId="1" xfId="0" applyFont="1" applyFill="1" applyBorder="1" applyAlignment="1">
      <alignment horizontal="center" vertical="center"/>
    </xf>
    <xf numFmtId="49" fontId="14" fillId="2" borderId="1" xfId="0" applyNumberFormat="1" applyFont="1" applyFill="1" applyBorder="1" applyAlignment="1">
      <alignment horizontal="center" vertical="center" wrapText="1"/>
    </xf>
    <xf numFmtId="2" fontId="14" fillId="2" borderId="1" xfId="0" applyNumberFormat="1" applyFont="1" applyFill="1" applyBorder="1" applyAlignment="1">
      <alignment horizontal="center" vertical="center"/>
    </xf>
    <xf numFmtId="1" fontId="14" fillId="2" borderId="1" xfId="0" applyNumberFormat="1" applyFont="1" applyFill="1" applyBorder="1" applyAlignment="1">
      <alignment horizontal="center" vertical="center"/>
    </xf>
    <xf numFmtId="10" fontId="14" fillId="2" borderId="1" xfId="0" applyNumberFormat="1" applyFont="1" applyFill="1" applyBorder="1" applyAlignment="1">
      <alignment horizontal="center" vertical="center"/>
    </xf>
    <xf numFmtId="1" fontId="11" fillId="2" borderId="14" xfId="0" applyNumberFormat="1" applyFont="1" applyFill="1" applyBorder="1" applyAlignment="1">
      <alignment horizontal="center" vertical="center"/>
    </xf>
    <xf numFmtId="1" fontId="11" fillId="6" borderId="4" xfId="0" applyNumberFormat="1" applyFont="1" applyFill="1" applyBorder="1" applyAlignment="1">
      <alignment horizontal="center" vertical="center" wrapText="1"/>
    </xf>
    <xf numFmtId="0" fontId="11" fillId="2" borderId="6" xfId="0" applyFont="1" applyFill="1" applyBorder="1" applyAlignment="1">
      <alignment horizontal="center" vertical="center"/>
    </xf>
    <xf numFmtId="0" fontId="11" fillId="6" borderId="13" xfId="0" applyFont="1" applyFill="1" applyBorder="1" applyAlignment="1">
      <alignment horizontal="center" vertical="center" wrapText="1"/>
    </xf>
    <xf numFmtId="0" fontId="11" fillId="10" borderId="27" xfId="0" applyFont="1" applyFill="1" applyBorder="1" applyAlignment="1">
      <alignment horizontal="center" vertical="center"/>
    </xf>
    <xf numFmtId="0" fontId="11" fillId="20" borderId="27" xfId="0" applyFont="1" applyFill="1" applyBorder="1" applyAlignment="1">
      <alignment horizontal="center" vertical="center"/>
    </xf>
    <xf numFmtId="0" fontId="11" fillId="20" borderId="31" xfId="0" applyFont="1" applyFill="1" applyBorder="1" applyAlignment="1">
      <alignment horizontal="center" vertical="center" wrapText="1"/>
    </xf>
    <xf numFmtId="0" fontId="11" fillId="10" borderId="31" xfId="0" applyFont="1" applyFill="1" applyBorder="1" applyAlignment="1">
      <alignment horizontal="center" vertical="center" wrapText="1"/>
    </xf>
    <xf numFmtId="0" fontId="23" fillId="25" borderId="1" xfId="0" applyFont="1" applyFill="1" applyBorder="1" applyAlignment="1">
      <alignment horizontal="center" vertical="center"/>
    </xf>
    <xf numFmtId="0" fontId="0" fillId="6" borderId="0" xfId="0" applyFill="1"/>
    <xf numFmtId="2" fontId="11" fillId="8" borderId="1" xfId="0" applyNumberFormat="1" applyFont="1" applyFill="1" applyBorder="1" applyAlignment="1">
      <alignment horizontal="center" vertical="center" wrapText="1"/>
    </xf>
    <xf numFmtId="49" fontId="11" fillId="8" borderId="1" xfId="0" applyNumberFormat="1" applyFont="1" applyFill="1" applyBorder="1" applyAlignment="1">
      <alignment horizontal="left" vertical="top" wrapText="1"/>
    </xf>
    <xf numFmtId="10" fontId="11" fillId="6" borderId="1" xfId="0" applyNumberFormat="1" applyFont="1" applyFill="1" applyBorder="1" applyAlignment="1">
      <alignment horizontal="center" vertical="center" wrapText="1"/>
    </xf>
    <xf numFmtId="1" fontId="11" fillId="6" borderId="1" xfId="0" applyNumberFormat="1" applyFont="1" applyFill="1" applyBorder="1" applyAlignment="1">
      <alignment horizontal="center" vertical="center" wrapText="1"/>
    </xf>
    <xf numFmtId="10" fontId="11" fillId="2" borderId="1" xfId="0" applyNumberFormat="1" applyFont="1" applyFill="1" applyBorder="1" applyAlignment="1">
      <alignment horizontal="center" vertical="center" wrapText="1"/>
    </xf>
    <xf numFmtId="1" fontId="11" fillId="2" borderId="1" xfId="0" applyNumberFormat="1" applyFont="1" applyFill="1" applyBorder="1" applyAlignment="1">
      <alignment horizontal="center" vertical="center" wrapText="1"/>
    </xf>
    <xf numFmtId="1" fontId="11" fillId="8" borderId="1" xfId="0" applyNumberFormat="1" applyFont="1" applyFill="1" applyBorder="1" applyAlignment="1">
      <alignment horizontal="center" vertical="center" wrapText="1"/>
    </xf>
    <xf numFmtId="0" fontId="0" fillId="8" borderId="1" xfId="0" applyFill="1" applyBorder="1" applyAlignment="1">
      <alignment wrapText="1"/>
    </xf>
    <xf numFmtId="0" fontId="47" fillId="2" borderId="1" xfId="0" applyFont="1" applyFill="1" applyBorder="1"/>
    <xf numFmtId="0" fontId="1" fillId="6" borderId="1" xfId="0" applyFont="1" applyFill="1" applyBorder="1"/>
    <xf numFmtId="0" fontId="0" fillId="6" borderId="1" xfId="0" applyFill="1" applyBorder="1"/>
    <xf numFmtId="0" fontId="10" fillId="10" borderId="1" xfId="0" applyFont="1" applyFill="1" applyBorder="1" applyAlignment="1">
      <alignment horizontal="center" vertical="center"/>
    </xf>
    <xf numFmtId="0" fontId="0" fillId="0" borderId="1" xfId="0" applyBorder="1" applyAlignment="1">
      <alignment horizontal="left" vertical="top" wrapText="1"/>
    </xf>
    <xf numFmtId="0" fontId="1" fillId="10" borderId="1" xfId="0" applyFont="1" applyFill="1" applyBorder="1"/>
    <xf numFmtId="0" fontId="83" fillId="10" borderId="1" xfId="0" applyFont="1" applyFill="1" applyBorder="1" applyAlignment="1">
      <alignment horizontal="center" vertical="center"/>
    </xf>
    <xf numFmtId="0" fontId="84" fillId="0" borderId="1" xfId="0" applyFont="1" applyBorder="1"/>
    <xf numFmtId="0" fontId="80" fillId="0" borderId="1" xfId="0" applyFont="1" applyBorder="1" applyAlignment="1">
      <alignment horizontal="left" vertical="top" wrapText="1"/>
    </xf>
    <xf numFmtId="0" fontId="1" fillId="6" borderId="1" xfId="0" applyFont="1" applyFill="1" applyBorder="1" applyAlignment="1">
      <alignment horizontal="left" vertical="top" wrapText="1"/>
    </xf>
    <xf numFmtId="0" fontId="24" fillId="2" borderId="1" xfId="0" applyFont="1" applyFill="1" applyBorder="1" applyAlignment="1">
      <alignment horizontal="left" vertical="top" wrapText="1"/>
    </xf>
    <xf numFmtId="0" fontId="14" fillId="10" borderId="1" xfId="0" applyFont="1" applyFill="1" applyBorder="1" applyAlignment="1">
      <alignment horizontal="center" vertical="center"/>
    </xf>
    <xf numFmtId="0" fontId="59" fillId="10" borderId="1" xfId="0" applyFont="1" applyFill="1" applyBorder="1" applyAlignment="1">
      <alignment horizontal="center" vertical="center"/>
    </xf>
    <xf numFmtId="0" fontId="61" fillId="4" borderId="1" xfId="0" applyFont="1" applyFill="1" applyBorder="1"/>
    <xf numFmtId="0" fontId="0" fillId="10" borderId="1" xfId="0" applyFill="1" applyBorder="1"/>
    <xf numFmtId="2" fontId="0" fillId="0" borderId="1" xfId="0" applyNumberFormat="1" applyBorder="1"/>
    <xf numFmtId="1" fontId="0" fillId="0" borderId="1" xfId="0" applyNumberFormat="1" applyBorder="1"/>
    <xf numFmtId="0" fontId="1" fillId="6" borderId="1" xfId="0" applyFont="1" applyFill="1" applyBorder="1" applyAlignment="1">
      <alignment wrapText="1"/>
    </xf>
    <xf numFmtId="2" fontId="1" fillId="6" borderId="1" xfId="0" applyNumberFormat="1" applyFont="1" applyFill="1" applyBorder="1"/>
    <xf numFmtId="1" fontId="1" fillId="6" borderId="1" xfId="0" applyNumberFormat="1" applyFont="1" applyFill="1" applyBorder="1"/>
    <xf numFmtId="2" fontId="1" fillId="0" borderId="1" xfId="0" applyNumberFormat="1" applyFont="1" applyBorder="1" applyAlignment="1">
      <alignment horizontal="center" vertical="center" wrapText="1"/>
    </xf>
    <xf numFmtId="1" fontId="1" fillId="0" borderId="1" xfId="0" applyNumberFormat="1" applyFont="1" applyBorder="1" applyAlignment="1">
      <alignment horizontal="center" vertical="center" wrapText="1"/>
    </xf>
    <xf numFmtId="0" fontId="1" fillId="10" borderId="1" xfId="0" applyFont="1" applyFill="1" applyBorder="1" applyAlignment="1">
      <alignment horizontal="center" vertical="center" wrapText="1"/>
    </xf>
    <xf numFmtId="2" fontId="1" fillId="2" borderId="1" xfId="0" applyNumberFormat="1" applyFont="1" applyFill="1" applyBorder="1" applyAlignment="1">
      <alignment horizontal="center" vertical="center" wrapText="1"/>
    </xf>
    <xf numFmtId="0" fontId="1" fillId="6" borderId="1" xfId="0" applyFont="1" applyFill="1" applyBorder="1" applyAlignment="1">
      <alignment vertical="top" wrapText="1"/>
    </xf>
    <xf numFmtId="0" fontId="0" fillId="2" borderId="1" xfId="0" applyFill="1" applyBorder="1" applyAlignment="1">
      <alignment vertical="top" wrapText="1"/>
    </xf>
    <xf numFmtId="0" fontId="1" fillId="2" borderId="1" xfId="0" applyFont="1" applyFill="1" applyBorder="1" applyAlignment="1">
      <alignment vertical="top" wrapText="1"/>
    </xf>
    <xf numFmtId="2" fontId="1" fillId="6" borderId="1" xfId="0" applyNumberFormat="1" applyFont="1" applyFill="1" applyBorder="1" applyAlignment="1">
      <alignment horizontal="center" vertical="center" wrapText="1"/>
    </xf>
    <xf numFmtId="0" fontId="58" fillId="6" borderId="1" xfId="0" applyFont="1" applyFill="1" applyBorder="1" applyAlignment="1">
      <alignment horizontal="left" vertical="top" wrapText="1"/>
    </xf>
    <xf numFmtId="0" fontId="102" fillId="2" borderId="1" xfId="0" applyFont="1" applyFill="1" applyBorder="1" applyAlignment="1">
      <alignment horizontal="left" vertical="top" wrapText="1"/>
    </xf>
    <xf numFmtId="0" fontId="0" fillId="8" borderId="1" xfId="0" applyFill="1" applyBorder="1" applyAlignment="1">
      <alignment vertical="top" wrapText="1"/>
    </xf>
    <xf numFmtId="0" fontId="0" fillId="6" borderId="1" xfId="0" applyFill="1" applyBorder="1" applyAlignment="1">
      <alignment vertical="top" wrapText="1"/>
    </xf>
    <xf numFmtId="0" fontId="0" fillId="0" borderId="1" xfId="0" applyBorder="1" applyAlignment="1">
      <alignment vertical="top" wrapText="1"/>
    </xf>
    <xf numFmtId="0" fontId="1" fillId="10" borderId="1" xfId="0" applyFont="1" applyFill="1" applyBorder="1" applyAlignment="1">
      <alignment vertical="top" wrapText="1"/>
    </xf>
    <xf numFmtId="0" fontId="84" fillId="0" borderId="1" xfId="0" applyFont="1" applyBorder="1" applyAlignment="1">
      <alignment vertical="top" wrapText="1"/>
    </xf>
    <xf numFmtId="0" fontId="0" fillId="0" borderId="1" xfId="0" applyBorder="1" applyAlignment="1">
      <alignment horizontal="center" vertical="top" wrapText="1"/>
    </xf>
    <xf numFmtId="0" fontId="1" fillId="2" borderId="1" xfId="0" applyFont="1" applyFill="1" applyBorder="1" applyAlignment="1">
      <alignment horizontal="center" vertical="top" wrapText="1"/>
    </xf>
    <xf numFmtId="0" fontId="8" fillId="6" borderId="1" xfId="0" applyFont="1" applyFill="1" applyBorder="1" applyAlignment="1">
      <alignment horizontal="center" vertical="top" wrapText="1"/>
    </xf>
    <xf numFmtId="0" fontId="9" fillId="6" borderId="1" xfId="0" applyFont="1" applyFill="1" applyBorder="1" applyAlignment="1">
      <alignment horizontal="center" vertical="top" wrapText="1"/>
    </xf>
    <xf numFmtId="0" fontId="29" fillId="2" borderId="1" xfId="0" applyFont="1" applyFill="1" applyBorder="1" applyAlignment="1">
      <alignment vertical="top" wrapText="1"/>
    </xf>
    <xf numFmtId="0" fontId="61" fillId="4" borderId="1" xfId="0" applyFont="1" applyFill="1" applyBorder="1" applyAlignment="1">
      <alignment vertical="top" wrapText="1"/>
    </xf>
    <xf numFmtId="0" fontId="107" fillId="0" borderId="1" xfId="0" applyFont="1" applyBorder="1" applyAlignment="1">
      <alignment horizontal="center"/>
    </xf>
    <xf numFmtId="0" fontId="1" fillId="2" borderId="24" xfId="0" applyFont="1" applyFill="1" applyBorder="1" applyAlignment="1">
      <alignment horizontal="center" vertical="center"/>
    </xf>
    <xf numFmtId="0" fontId="0" fillId="6" borderId="1" xfId="0" applyFill="1" applyBorder="1" applyAlignment="1">
      <alignment horizontal="center" vertical="center"/>
    </xf>
    <xf numFmtId="0" fontId="0" fillId="26" borderId="1" xfId="0" applyFill="1" applyBorder="1" applyAlignment="1">
      <alignment horizontal="center" vertical="center"/>
    </xf>
    <xf numFmtId="0" fontId="0" fillId="26" borderId="0" xfId="0" applyFill="1"/>
    <xf numFmtId="0" fontId="0" fillId="23" borderId="1" xfId="0" applyFill="1" applyBorder="1" applyAlignment="1">
      <alignment horizontal="center" vertical="center"/>
    </xf>
    <xf numFmtId="0" fontId="0" fillId="23" borderId="0" xfId="0" applyFill="1"/>
    <xf numFmtId="0" fontId="0" fillId="20" borderId="1" xfId="0" applyFill="1" applyBorder="1" applyAlignment="1">
      <alignment horizontal="center" vertical="center"/>
    </xf>
    <xf numFmtId="0" fontId="0" fillId="20" borderId="0" xfId="0" applyFill="1"/>
    <xf numFmtId="0" fontId="0" fillId="27" borderId="1" xfId="0" applyFill="1" applyBorder="1" applyAlignment="1">
      <alignment horizontal="center" vertical="center"/>
    </xf>
    <xf numFmtId="0" fontId="0" fillId="27" borderId="0" xfId="0" applyFill="1"/>
    <xf numFmtId="0" fontId="0" fillId="28" borderId="1" xfId="0" applyFill="1" applyBorder="1" applyAlignment="1">
      <alignment horizontal="center" vertical="center"/>
    </xf>
    <xf numFmtId="0" fontId="0" fillId="28" borderId="0" xfId="0" applyFill="1"/>
    <xf numFmtId="0" fontId="0" fillId="24" borderId="1" xfId="0" applyFill="1" applyBorder="1" applyAlignment="1">
      <alignment horizontal="center" vertical="center"/>
    </xf>
    <xf numFmtId="0" fontId="0" fillId="29" borderId="1" xfId="0" applyFill="1" applyBorder="1" applyAlignment="1">
      <alignment horizontal="center" vertical="center"/>
    </xf>
    <xf numFmtId="0" fontId="0" fillId="29" borderId="0" xfId="0" applyFill="1"/>
    <xf numFmtId="0" fontId="0" fillId="30" borderId="1" xfId="0" applyFill="1" applyBorder="1" applyAlignment="1">
      <alignment horizontal="center" vertical="center"/>
    </xf>
    <xf numFmtId="0" fontId="0" fillId="30" borderId="0" xfId="0" applyFill="1"/>
    <xf numFmtId="0" fontId="0" fillId="22" borderId="1" xfId="0" applyFill="1" applyBorder="1" applyAlignment="1">
      <alignment horizontal="center" vertical="center"/>
    </xf>
    <xf numFmtId="0" fontId="0" fillId="22" borderId="0" xfId="0" applyFill="1"/>
    <xf numFmtId="0" fontId="1" fillId="0" borderId="1" xfId="0" applyFont="1" applyBorder="1" applyAlignment="1">
      <alignment horizontal="center"/>
    </xf>
    <xf numFmtId="0" fontId="1" fillId="6" borderId="0" xfId="0" applyFont="1" applyFill="1" applyAlignment="1">
      <alignment horizontal="center" vertical="center" wrapText="1"/>
    </xf>
    <xf numFmtId="0" fontId="1" fillId="6" borderId="8" xfId="0" applyFont="1" applyFill="1" applyBorder="1" applyAlignment="1">
      <alignment horizontal="center" vertical="center"/>
    </xf>
    <xf numFmtId="0" fontId="0" fillId="31" borderId="1" xfId="0" applyFill="1" applyBorder="1" applyAlignment="1">
      <alignment horizontal="center" vertical="center"/>
    </xf>
    <xf numFmtId="0" fontId="1" fillId="31" borderId="1" xfId="0" applyFont="1" applyFill="1" applyBorder="1" applyAlignment="1">
      <alignment horizontal="center" vertical="center"/>
    </xf>
    <xf numFmtId="0" fontId="1" fillId="31" borderId="1" xfId="0" applyFont="1" applyFill="1" applyBorder="1" applyAlignment="1">
      <alignment horizontal="center" vertical="center" wrapText="1"/>
    </xf>
    <xf numFmtId="0" fontId="1" fillId="32" borderId="1" xfId="0" applyFont="1" applyFill="1" applyBorder="1" applyAlignment="1">
      <alignment horizontal="center" vertical="center" wrapText="1"/>
    </xf>
    <xf numFmtId="0" fontId="0" fillId="32" borderId="1" xfId="0" applyFill="1" applyBorder="1" applyAlignment="1">
      <alignment horizontal="center" vertical="center"/>
    </xf>
    <xf numFmtId="0" fontId="0" fillId="0" borderId="1" xfId="0" applyBorder="1" applyAlignment="1">
      <alignment vertical="top"/>
    </xf>
    <xf numFmtId="0" fontId="0" fillId="6" borderId="1" xfId="0" applyFill="1" applyBorder="1" applyAlignment="1">
      <alignment horizontal="center"/>
    </xf>
    <xf numFmtId="0" fontId="10" fillId="2" borderId="1" xfId="0" applyFont="1" applyFill="1" applyBorder="1" applyAlignment="1">
      <alignment horizontal="center" vertical="center"/>
    </xf>
    <xf numFmtId="0" fontId="83" fillId="2" borderId="1" xfId="0" applyFont="1" applyFill="1" applyBorder="1" applyAlignment="1">
      <alignment horizontal="center" vertical="center"/>
    </xf>
    <xf numFmtId="49" fontId="10" fillId="2" borderId="1" xfId="0" applyNumberFormat="1" applyFont="1" applyFill="1" applyBorder="1" applyAlignment="1">
      <alignment horizontal="center" vertical="center"/>
    </xf>
    <xf numFmtId="0" fontId="59" fillId="2" borderId="1" xfId="0" applyFont="1" applyFill="1" applyBorder="1" applyAlignment="1">
      <alignment horizontal="center" vertical="center"/>
    </xf>
    <xf numFmtId="49" fontId="56" fillId="2" borderId="1" xfId="0" applyNumberFormat="1" applyFont="1" applyFill="1" applyBorder="1" applyAlignment="1">
      <alignment horizontal="center" vertical="center" wrapText="1"/>
    </xf>
    <xf numFmtId="10" fontId="56" fillId="6" borderId="1" xfId="0" applyNumberFormat="1" applyFont="1" applyFill="1" applyBorder="1" applyAlignment="1">
      <alignment horizontal="center" vertical="center"/>
    </xf>
    <xf numFmtId="10" fontId="56" fillId="0" borderId="1" xfId="0" applyNumberFormat="1" applyFont="1" applyBorder="1" applyAlignment="1">
      <alignment horizontal="center" vertical="center"/>
    </xf>
    <xf numFmtId="10" fontId="56" fillId="10" borderId="1" xfId="0" applyNumberFormat="1" applyFont="1" applyFill="1" applyBorder="1" applyAlignment="1">
      <alignment horizontal="center" vertical="center"/>
    </xf>
    <xf numFmtId="10" fontId="56" fillId="11" borderId="1" xfId="0" applyNumberFormat="1" applyFont="1" applyFill="1" applyBorder="1" applyAlignment="1">
      <alignment horizontal="center" vertical="center"/>
    </xf>
    <xf numFmtId="10" fontId="56" fillId="6" borderId="1" xfId="0" applyNumberFormat="1" applyFont="1" applyFill="1" applyBorder="1" applyAlignment="1">
      <alignment horizontal="center" vertical="center" wrapText="1"/>
    </xf>
    <xf numFmtId="10" fontId="56" fillId="2" borderId="1" xfId="0" applyNumberFormat="1" applyFont="1" applyFill="1" applyBorder="1" applyAlignment="1">
      <alignment horizontal="center" vertical="center" wrapText="1"/>
    </xf>
    <xf numFmtId="10" fontId="56" fillId="11" borderId="1" xfId="0" applyNumberFormat="1" applyFont="1" applyFill="1" applyBorder="1" applyAlignment="1">
      <alignment horizontal="center" vertical="center" wrapText="1"/>
    </xf>
    <xf numFmtId="10" fontId="56" fillId="0" borderId="1" xfId="0" applyNumberFormat="1" applyFont="1" applyBorder="1" applyAlignment="1">
      <alignment horizontal="center" vertical="center" wrapText="1"/>
    </xf>
    <xf numFmtId="10" fontId="56" fillId="10" borderId="1" xfId="0" applyNumberFormat="1" applyFont="1" applyFill="1" applyBorder="1" applyAlignment="1">
      <alignment horizontal="center" vertical="center" wrapText="1"/>
    </xf>
    <xf numFmtId="10" fontId="83" fillId="6" borderId="2" xfId="0" applyNumberFormat="1" applyFont="1" applyFill="1" applyBorder="1" applyAlignment="1">
      <alignment horizontal="center" vertical="center" wrapText="1"/>
    </xf>
    <xf numFmtId="10" fontId="56" fillId="23" borderId="1" xfId="0" applyNumberFormat="1" applyFont="1" applyFill="1" applyBorder="1" applyAlignment="1">
      <alignment horizontal="center" vertical="center"/>
    </xf>
    <xf numFmtId="10" fontId="56" fillId="25" borderId="1" xfId="0" applyNumberFormat="1" applyFont="1" applyFill="1" applyBorder="1" applyAlignment="1">
      <alignment horizontal="center" vertical="center"/>
    </xf>
    <xf numFmtId="10" fontId="56" fillId="2" borderId="1" xfId="0" applyNumberFormat="1" applyFont="1" applyFill="1" applyBorder="1" applyAlignment="1">
      <alignment horizontal="center" vertical="center"/>
    </xf>
    <xf numFmtId="10" fontId="56" fillId="2" borderId="7" xfId="0" applyNumberFormat="1" applyFont="1" applyFill="1" applyBorder="1" applyAlignment="1">
      <alignment horizontal="center" vertical="center"/>
    </xf>
    <xf numFmtId="0" fontId="26" fillId="0" borderId="1" xfId="0" applyFont="1" applyBorder="1"/>
    <xf numFmtId="0" fontId="26" fillId="0" borderId="0" xfId="0" applyFont="1"/>
    <xf numFmtId="1" fontId="56" fillId="6" borderId="1" xfId="0" applyNumberFormat="1" applyFont="1" applyFill="1" applyBorder="1" applyAlignment="1">
      <alignment horizontal="center" vertical="center"/>
    </xf>
    <xf numFmtId="1" fontId="56" fillId="0" borderId="1" xfId="0" applyNumberFormat="1" applyFont="1" applyBorder="1" applyAlignment="1">
      <alignment horizontal="center" vertical="center"/>
    </xf>
    <xf numFmtId="1" fontId="56" fillId="10" borderId="1" xfId="0" applyNumberFormat="1" applyFont="1" applyFill="1" applyBorder="1" applyAlignment="1">
      <alignment horizontal="center" vertical="center"/>
    </xf>
    <xf numFmtId="1" fontId="56" fillId="11" borderId="1" xfId="0" applyNumberFormat="1" applyFont="1" applyFill="1" applyBorder="1" applyAlignment="1">
      <alignment horizontal="center" vertical="center"/>
    </xf>
    <xf numFmtId="1" fontId="56" fillId="6" borderId="1" xfId="0" applyNumberFormat="1" applyFont="1" applyFill="1" applyBorder="1" applyAlignment="1">
      <alignment horizontal="center" vertical="center" wrapText="1"/>
    </xf>
    <xf numFmtId="1" fontId="56" fillId="2" borderId="1" xfId="0" applyNumberFormat="1" applyFont="1" applyFill="1" applyBorder="1" applyAlignment="1">
      <alignment horizontal="center" vertical="center" wrapText="1"/>
    </xf>
    <xf numFmtId="1" fontId="56" fillId="11" borderId="1" xfId="0" applyNumberFormat="1" applyFont="1" applyFill="1" applyBorder="1" applyAlignment="1">
      <alignment horizontal="center" vertical="center" wrapText="1"/>
    </xf>
    <xf numFmtId="1" fontId="56" fillId="0" borderId="1" xfId="0" applyNumberFormat="1" applyFont="1" applyBorder="1" applyAlignment="1">
      <alignment horizontal="center" vertical="center" wrapText="1"/>
    </xf>
    <xf numFmtId="1" fontId="56" fillId="10" borderId="1" xfId="0" applyNumberFormat="1" applyFont="1" applyFill="1" applyBorder="1" applyAlignment="1">
      <alignment horizontal="center" vertical="center" wrapText="1"/>
    </xf>
    <xf numFmtId="1" fontId="83" fillId="6" borderId="2" xfId="0" applyNumberFormat="1" applyFont="1" applyFill="1" applyBorder="1" applyAlignment="1">
      <alignment horizontal="center" vertical="center" wrapText="1"/>
    </xf>
    <xf numFmtId="1" fontId="56" fillId="23" borderId="1" xfId="0" applyNumberFormat="1" applyFont="1" applyFill="1" applyBorder="1" applyAlignment="1">
      <alignment horizontal="center" vertical="center"/>
    </xf>
    <xf numFmtId="1" fontId="56" fillId="25" borderId="1" xfId="0" applyNumberFormat="1" applyFont="1" applyFill="1" applyBorder="1" applyAlignment="1">
      <alignment horizontal="center" vertical="center"/>
    </xf>
    <xf numFmtId="1" fontId="56" fillId="2" borderId="1" xfId="0" applyNumberFormat="1" applyFont="1" applyFill="1" applyBorder="1" applyAlignment="1">
      <alignment horizontal="center" vertical="center"/>
    </xf>
    <xf numFmtId="1" fontId="56" fillId="2" borderId="7" xfId="0" applyNumberFormat="1" applyFont="1" applyFill="1" applyBorder="1" applyAlignment="1">
      <alignment horizontal="center" vertical="center"/>
    </xf>
    <xf numFmtId="10" fontId="56" fillId="2" borderId="7" xfId="0" applyNumberFormat="1" applyFont="1" applyFill="1" applyBorder="1" applyAlignment="1">
      <alignment horizontal="center" vertical="center" wrapText="1"/>
    </xf>
    <xf numFmtId="10" fontId="56" fillId="6" borderId="7" xfId="0" applyNumberFormat="1" applyFont="1" applyFill="1" applyBorder="1" applyAlignment="1">
      <alignment horizontal="center" vertical="center" wrapText="1"/>
    </xf>
    <xf numFmtId="0" fontId="56" fillId="0" borderId="2" xfId="0" applyFont="1" applyBorder="1" applyAlignment="1">
      <alignment horizontal="center" vertical="center" wrapText="1"/>
    </xf>
    <xf numFmtId="10" fontId="56" fillId="0" borderId="7" xfId="0" applyNumberFormat="1" applyFont="1" applyBorder="1" applyAlignment="1">
      <alignment horizontal="center" vertical="center" wrapText="1"/>
    </xf>
    <xf numFmtId="10" fontId="56" fillId="0" borderId="3" xfId="0" applyNumberFormat="1" applyFont="1" applyBorder="1" applyAlignment="1">
      <alignment horizontal="center" vertical="center" wrapText="1"/>
    </xf>
    <xf numFmtId="10" fontId="56" fillId="0" borderId="2" xfId="0" applyNumberFormat="1" applyFont="1" applyBorder="1" applyAlignment="1">
      <alignment horizontal="center" vertical="center" wrapText="1"/>
    </xf>
    <xf numFmtId="1" fontId="8" fillId="0" borderId="13" xfId="0" applyNumberFormat="1" applyFont="1" applyBorder="1" applyAlignment="1">
      <alignment horizontal="center" vertical="center" wrapText="1"/>
    </xf>
    <xf numFmtId="1" fontId="56" fillId="2" borderId="7" xfId="0" applyNumberFormat="1" applyFont="1" applyFill="1" applyBorder="1" applyAlignment="1">
      <alignment horizontal="center" vertical="center" wrapText="1"/>
    </xf>
    <xf numFmtId="1" fontId="56" fillId="6" borderId="7" xfId="0" applyNumberFormat="1" applyFont="1" applyFill="1" applyBorder="1" applyAlignment="1">
      <alignment horizontal="center" vertical="center" wrapText="1"/>
    </xf>
    <xf numFmtId="1" fontId="56" fillId="0" borderId="7" xfId="0" applyNumberFormat="1" applyFont="1" applyBorder="1" applyAlignment="1">
      <alignment horizontal="center" vertical="center" wrapText="1"/>
    </xf>
    <xf numFmtId="1" fontId="56" fillId="0" borderId="3" xfId="0" applyNumberFormat="1" applyFont="1" applyBorder="1" applyAlignment="1">
      <alignment horizontal="center" vertical="center" wrapText="1"/>
    </xf>
    <xf numFmtId="1" fontId="56" fillId="0" borderId="2" xfId="0" applyNumberFormat="1" applyFont="1" applyBorder="1" applyAlignment="1">
      <alignment horizontal="center" vertical="center" wrapText="1"/>
    </xf>
    <xf numFmtId="1" fontId="62" fillId="6" borderId="1" xfId="0" applyNumberFormat="1" applyFont="1" applyFill="1" applyBorder="1" applyAlignment="1">
      <alignment horizontal="center" vertical="center" wrapText="1"/>
    </xf>
    <xf numFmtId="1" fontId="56" fillId="0" borderId="0" xfId="0" applyNumberFormat="1" applyFont="1" applyAlignment="1">
      <alignment horizontal="center" vertical="center" wrapText="1"/>
    </xf>
    <xf numFmtId="0" fontId="56" fillId="0" borderId="8" xfId="0" applyFont="1" applyBorder="1" applyAlignment="1">
      <alignment horizontal="center" vertical="center" wrapText="1"/>
    </xf>
    <xf numFmtId="0" fontId="56" fillId="0" borderId="1" xfId="0" applyFont="1" applyBorder="1" applyAlignment="1">
      <alignment horizontal="center" vertical="center" wrapText="1"/>
    </xf>
    <xf numFmtId="10" fontId="62" fillId="6" borderId="1" xfId="0" applyNumberFormat="1" applyFont="1" applyFill="1" applyBorder="1" applyAlignment="1">
      <alignment horizontal="center" vertical="center" wrapText="1"/>
    </xf>
    <xf numFmtId="10" fontId="56" fillId="0" borderId="0" xfId="0" applyNumberFormat="1" applyFont="1" applyAlignment="1">
      <alignment horizontal="center" vertical="center" wrapText="1"/>
    </xf>
    <xf numFmtId="0" fontId="108" fillId="2" borderId="1" xfId="0" applyFont="1" applyFill="1" applyBorder="1" applyAlignment="1">
      <alignment horizontal="center" vertical="center" wrapText="1"/>
    </xf>
    <xf numFmtId="0" fontId="56" fillId="2" borderId="1" xfId="0" applyFont="1" applyFill="1" applyBorder="1" applyAlignment="1">
      <alignment horizontal="center" vertical="center" wrapText="1"/>
    </xf>
    <xf numFmtId="2" fontId="56" fillId="2" borderId="1" xfId="0" applyNumberFormat="1" applyFont="1" applyFill="1" applyBorder="1" applyAlignment="1">
      <alignment horizontal="center" vertical="center" wrapText="1"/>
    </xf>
    <xf numFmtId="1" fontId="56" fillId="2" borderId="14" xfId="0" applyNumberFormat="1" applyFont="1" applyFill="1" applyBorder="1" applyAlignment="1">
      <alignment horizontal="center" vertical="center" wrapText="1"/>
    </xf>
    <xf numFmtId="2" fontId="56" fillId="20" borderId="27" xfId="0" applyNumberFormat="1" applyFont="1" applyFill="1" applyBorder="1" applyAlignment="1">
      <alignment horizontal="center" vertical="center" wrapText="1"/>
    </xf>
    <xf numFmtId="2" fontId="56" fillId="10" borderId="27" xfId="0" applyNumberFormat="1" applyFont="1" applyFill="1" applyBorder="1" applyAlignment="1">
      <alignment horizontal="center" vertical="center" wrapText="1"/>
    </xf>
    <xf numFmtId="1" fontId="56" fillId="2" borderId="6" xfId="0" applyNumberFormat="1" applyFont="1" applyFill="1" applyBorder="1" applyAlignment="1">
      <alignment horizontal="center" vertical="center" wrapText="1"/>
    </xf>
    <xf numFmtId="0" fontId="56" fillId="2" borderId="1" xfId="0" applyFont="1" applyFill="1" applyBorder="1" applyAlignment="1">
      <alignment horizontal="left" vertical="top" wrapText="1"/>
    </xf>
    <xf numFmtId="0" fontId="114" fillId="0" borderId="1" xfId="1" applyBorder="1" applyAlignment="1">
      <alignment horizontal="center" vertical="center" wrapText="1"/>
    </xf>
    <xf numFmtId="0" fontId="0" fillId="2" borderId="14" xfId="0" applyFill="1" applyBorder="1" applyAlignment="1">
      <alignment horizontal="center" wrapText="1"/>
    </xf>
    <xf numFmtId="9" fontId="1" fillId="0" borderId="0" xfId="0" applyNumberFormat="1" applyFont="1" applyAlignment="1">
      <alignment horizontal="center" vertical="center" wrapText="1"/>
    </xf>
    <xf numFmtId="0" fontId="0" fillId="0" borderId="0" xfId="0" applyAlignment="1">
      <alignment horizontal="center" vertical="center" wrapText="1"/>
    </xf>
    <xf numFmtId="9" fontId="0" fillId="0" borderId="0" xfId="0" applyNumberFormat="1" applyAlignment="1">
      <alignment horizontal="center" vertical="center" wrapText="1"/>
    </xf>
    <xf numFmtId="10" fontId="0" fillId="0" borderId="0" xfId="0" applyNumberFormat="1" applyAlignment="1">
      <alignment horizontal="center" vertical="center" wrapText="1"/>
    </xf>
    <xf numFmtId="0" fontId="1" fillId="2" borderId="7" xfId="0" applyFont="1" applyFill="1" applyBorder="1" applyAlignment="1">
      <alignment wrapText="1"/>
    </xf>
    <xf numFmtId="0" fontId="0" fillId="2" borderId="1" xfId="0" applyFill="1" applyBorder="1" applyAlignment="1">
      <alignment wrapText="1"/>
    </xf>
    <xf numFmtId="10" fontId="84" fillId="0" borderId="0" xfId="0" applyNumberFormat="1" applyFont="1" applyAlignment="1">
      <alignment horizontal="left" vertical="top" wrapText="1"/>
    </xf>
    <xf numFmtId="0" fontId="0" fillId="0" borderId="0" xfId="0" applyAlignment="1">
      <alignment horizontal="left" vertical="top" wrapText="1"/>
    </xf>
    <xf numFmtId="9" fontId="84" fillId="0" borderId="0" xfId="0" applyNumberFormat="1" applyFont="1" applyAlignment="1">
      <alignment horizontal="left" vertical="top" wrapText="1"/>
    </xf>
    <xf numFmtId="10" fontId="92" fillId="0" borderId="0" xfId="0" applyNumberFormat="1" applyFont="1" applyAlignment="1">
      <alignment horizontal="left" vertical="top" wrapText="1"/>
    </xf>
    <xf numFmtId="0" fontId="84" fillId="0" borderId="0" xfId="0" applyFont="1" applyAlignment="1">
      <alignment horizontal="left" vertical="top" wrapText="1"/>
    </xf>
    <xf numFmtId="10" fontId="0" fillId="0" borderId="0" xfId="0" applyNumberFormat="1" applyAlignment="1">
      <alignment wrapText="1"/>
    </xf>
    <xf numFmtId="0" fontId="0" fillId="2" borderId="0" xfId="0" applyFill="1" applyAlignment="1">
      <alignment wrapText="1"/>
    </xf>
    <xf numFmtId="0" fontId="0" fillId="11" borderId="0" xfId="0" applyFill="1" applyAlignment="1">
      <alignment wrapText="1"/>
    </xf>
    <xf numFmtId="0" fontId="23" fillId="0" borderId="1" xfId="0" applyFont="1" applyBorder="1" applyAlignment="1">
      <alignment horizontal="center" vertical="center" wrapText="1"/>
    </xf>
    <xf numFmtId="0" fontId="23" fillId="25" borderId="1" xfId="0" applyFont="1" applyFill="1" applyBorder="1" applyAlignment="1">
      <alignment horizontal="center" vertical="center" wrapText="1"/>
    </xf>
    <xf numFmtId="0" fontId="23" fillId="2" borderId="1" xfId="0" applyFont="1" applyFill="1" applyBorder="1" applyAlignment="1">
      <alignment horizontal="center" vertical="center" wrapText="1"/>
    </xf>
    <xf numFmtId="0" fontId="0" fillId="0" borderId="0" xfId="0" applyAlignment="1">
      <alignment horizontal="center" wrapText="1"/>
    </xf>
    <xf numFmtId="0" fontId="0" fillId="2" borderId="1" xfId="0" applyFill="1" applyBorder="1" applyAlignment="1">
      <alignment horizontal="center" wrapText="1"/>
    </xf>
    <xf numFmtId="0" fontId="1" fillId="0" borderId="0" xfId="0" applyFont="1" applyAlignment="1">
      <alignment wrapText="1"/>
    </xf>
    <xf numFmtId="0" fontId="84" fillId="0" borderId="0" xfId="0" applyFont="1" applyAlignment="1">
      <alignment wrapText="1"/>
    </xf>
    <xf numFmtId="0" fontId="115" fillId="0" borderId="1" xfId="0" applyFont="1" applyBorder="1" applyAlignment="1">
      <alignment horizontal="center" vertical="center" wrapText="1"/>
    </xf>
    <xf numFmtId="0" fontId="0" fillId="0" borderId="1" xfId="0" applyBorder="1" applyAlignment="1">
      <alignment vertical="center"/>
    </xf>
    <xf numFmtId="0" fontId="1" fillId="18" borderId="1" xfId="0" applyFont="1" applyFill="1" applyBorder="1" applyAlignment="1">
      <alignment horizontal="center" vertical="center" wrapText="1"/>
    </xf>
    <xf numFmtId="0" fontId="1" fillId="18" borderId="1" xfId="0" applyFont="1" applyFill="1" applyBorder="1" applyAlignment="1">
      <alignment horizontal="center" vertical="center"/>
    </xf>
    <xf numFmtId="0" fontId="1" fillId="24" borderId="1" xfId="0" applyFont="1" applyFill="1" applyBorder="1" applyAlignment="1">
      <alignment horizontal="center" vertical="center"/>
    </xf>
    <xf numFmtId="0" fontId="116" fillId="24" borderId="1" xfId="0" applyFont="1" applyFill="1" applyBorder="1" applyAlignment="1">
      <alignment horizontal="center" vertical="center" wrapText="1"/>
    </xf>
    <xf numFmtId="0" fontId="0" fillId="10" borderId="1" xfId="0" applyFill="1" applyBorder="1" applyAlignment="1">
      <alignment vertical="center"/>
    </xf>
    <xf numFmtId="0" fontId="116" fillId="11" borderId="1" xfId="0" applyFont="1" applyFill="1" applyBorder="1" applyAlignment="1">
      <alignment horizontal="center" vertical="center" wrapText="1"/>
    </xf>
    <xf numFmtId="0" fontId="1" fillId="11" borderId="1" xfId="0" applyFont="1" applyFill="1" applyBorder="1" applyAlignment="1">
      <alignment vertical="center"/>
    </xf>
    <xf numFmtId="0" fontId="4" fillId="10" borderId="1" xfId="0" applyFont="1" applyFill="1" applyBorder="1" applyAlignment="1">
      <alignment horizontal="center" vertical="center"/>
    </xf>
    <xf numFmtId="0" fontId="117" fillId="10" borderId="1" xfId="0" applyFont="1" applyFill="1" applyBorder="1" applyAlignment="1">
      <alignment horizontal="center" vertical="center" wrapText="1"/>
    </xf>
    <xf numFmtId="0" fontId="115" fillId="11" borderId="1" xfId="0" applyFont="1" applyFill="1" applyBorder="1" applyAlignment="1">
      <alignment horizontal="center" vertical="center" wrapText="1"/>
    </xf>
    <xf numFmtId="0" fontId="0" fillId="11" borderId="1" xfId="0" applyFill="1" applyBorder="1" applyAlignment="1">
      <alignment horizontal="center" vertical="center" wrapText="1"/>
    </xf>
    <xf numFmtId="0" fontId="0" fillId="11" borderId="1" xfId="0" applyFill="1" applyBorder="1" applyAlignment="1">
      <alignment vertical="center"/>
    </xf>
    <xf numFmtId="0" fontId="115" fillId="0" borderId="8" xfId="0" applyFont="1" applyBorder="1" applyAlignment="1">
      <alignment horizontal="center" vertical="center" wrapText="1"/>
    </xf>
    <xf numFmtId="0" fontId="0" fillId="0" borderId="8" xfId="0" applyBorder="1" applyAlignment="1">
      <alignment horizontal="center" vertical="center" wrapText="1"/>
    </xf>
    <xf numFmtId="0" fontId="0" fillId="0" borderId="8" xfId="0" applyBorder="1" applyAlignment="1">
      <alignment vertical="center"/>
    </xf>
    <xf numFmtId="0" fontId="1" fillId="11" borderId="1" xfId="0" applyFont="1" applyFill="1" applyBorder="1"/>
    <xf numFmtId="0" fontId="116" fillId="6" borderId="1" xfId="0" applyFont="1" applyFill="1" applyBorder="1" applyAlignment="1">
      <alignment horizontal="center" vertical="center" wrapText="1"/>
    </xf>
    <xf numFmtId="2" fontId="0" fillId="0" borderId="1" xfId="0" applyNumberFormat="1" applyBorder="1" applyAlignment="1">
      <alignment horizontal="center"/>
    </xf>
    <xf numFmtId="2" fontId="1" fillId="6" borderId="1" xfId="0" applyNumberFormat="1" applyFont="1" applyFill="1" applyBorder="1" applyAlignment="1">
      <alignment horizontal="center"/>
    </xf>
    <xf numFmtId="2" fontId="1" fillId="0" borderId="1" xfId="0" applyNumberFormat="1" applyFont="1" applyBorder="1" applyAlignment="1">
      <alignment horizontal="center"/>
    </xf>
    <xf numFmtId="2" fontId="1" fillId="6" borderId="1" xfId="0" applyNumberFormat="1" applyFont="1" applyFill="1" applyBorder="1" applyAlignment="1">
      <alignment horizontal="center" vertical="center"/>
    </xf>
    <xf numFmtId="2" fontId="1" fillId="0" borderId="1" xfId="0" applyNumberFormat="1" applyFont="1" applyBorder="1" applyAlignment="1">
      <alignment horizontal="center" vertical="center"/>
    </xf>
    <xf numFmtId="2" fontId="0" fillId="6" borderId="1" xfId="0" applyNumberFormat="1" applyFill="1" applyBorder="1" applyAlignment="1">
      <alignment horizontal="center"/>
    </xf>
    <xf numFmtId="2" fontId="0" fillId="6" borderId="14" xfId="0" applyNumberFormat="1" applyFill="1" applyBorder="1" applyAlignment="1">
      <alignment horizontal="center"/>
    </xf>
    <xf numFmtId="2" fontId="0" fillId="0" borderId="14" xfId="0" applyNumberFormat="1" applyBorder="1" applyAlignment="1">
      <alignment horizontal="center"/>
    </xf>
    <xf numFmtId="2" fontId="0" fillId="24" borderId="14" xfId="0" applyNumberFormat="1" applyFill="1" applyBorder="1" applyAlignment="1">
      <alignment horizontal="center"/>
    </xf>
    <xf numFmtId="2" fontId="0" fillId="24" borderId="1" xfId="0" applyNumberFormat="1" applyFill="1" applyBorder="1" applyAlignment="1">
      <alignment horizontal="center"/>
    </xf>
    <xf numFmtId="2" fontId="4" fillId="24" borderId="1" xfId="0" applyNumberFormat="1" applyFont="1" applyFill="1" applyBorder="1" applyAlignment="1">
      <alignment horizontal="center"/>
    </xf>
    <xf numFmtId="2" fontId="0" fillId="11" borderId="1" xfId="0" applyNumberFormat="1" applyFill="1" applyBorder="1" applyAlignment="1">
      <alignment horizontal="center"/>
    </xf>
    <xf numFmtId="2" fontId="0" fillId="0" borderId="7" xfId="0" applyNumberFormat="1" applyBorder="1" applyAlignment="1">
      <alignment horizontal="center"/>
    </xf>
    <xf numFmtId="2" fontId="1" fillId="11" borderId="7" xfId="0" applyNumberFormat="1" applyFont="1" applyFill="1" applyBorder="1" applyAlignment="1">
      <alignment horizontal="center"/>
    </xf>
    <xf numFmtId="2" fontId="0" fillId="0" borderId="8" xfId="0" applyNumberFormat="1" applyBorder="1" applyAlignment="1">
      <alignment horizontal="center"/>
    </xf>
    <xf numFmtId="2" fontId="0" fillId="11" borderId="7" xfId="0" applyNumberFormat="1" applyFill="1" applyBorder="1" applyAlignment="1">
      <alignment horizontal="center" vertical="center"/>
    </xf>
    <xf numFmtId="2" fontId="1" fillId="11" borderId="7" xfId="0" applyNumberFormat="1" applyFont="1" applyFill="1" applyBorder="1" applyAlignment="1">
      <alignment horizontal="center" vertical="center"/>
    </xf>
    <xf numFmtId="2" fontId="1" fillId="11" borderId="1" xfId="0" applyNumberFormat="1" applyFont="1" applyFill="1" applyBorder="1" applyAlignment="1">
      <alignment horizontal="center" vertical="center"/>
    </xf>
    <xf numFmtId="2" fontId="0" fillId="6" borderId="8" xfId="0" applyNumberFormat="1" applyFill="1" applyBorder="1" applyAlignment="1">
      <alignment horizontal="center" vertical="center"/>
    </xf>
    <xf numFmtId="2" fontId="1" fillId="11" borderId="1" xfId="0" applyNumberFormat="1" applyFont="1" applyFill="1" applyBorder="1" applyAlignment="1">
      <alignment horizontal="center"/>
    </xf>
    <xf numFmtId="2" fontId="0" fillId="11" borderId="1" xfId="0" applyNumberFormat="1" applyFill="1" applyBorder="1" applyAlignment="1">
      <alignment horizontal="center" vertical="center"/>
    </xf>
    <xf numFmtId="2" fontId="92" fillId="11" borderId="1" xfId="0" applyNumberFormat="1" applyFont="1" applyFill="1" applyBorder="1" applyAlignment="1">
      <alignment horizontal="center" vertical="center"/>
    </xf>
    <xf numFmtId="2" fontId="84" fillId="0" borderId="1" xfId="0" applyNumberFormat="1" applyFont="1" applyBorder="1" applyAlignment="1">
      <alignment horizontal="center" vertical="center"/>
    </xf>
    <xf numFmtId="2" fontId="29" fillId="0" borderId="1" xfId="0" applyNumberFormat="1" applyFont="1" applyBorder="1" applyAlignment="1">
      <alignment horizontal="center"/>
    </xf>
    <xf numFmtId="2" fontId="84" fillId="22" borderId="1" xfId="0" applyNumberFormat="1" applyFont="1" applyFill="1" applyBorder="1" applyAlignment="1">
      <alignment horizontal="center" vertical="center"/>
    </xf>
    <xf numFmtId="2" fontId="0" fillId="2" borderId="1" xfId="0" applyNumberFormat="1" applyFill="1" applyBorder="1" applyAlignment="1">
      <alignment horizontal="center" vertical="center"/>
    </xf>
    <xf numFmtId="2" fontId="29" fillId="0" borderId="1" xfId="0" applyNumberFormat="1" applyFont="1" applyBorder="1" applyAlignment="1">
      <alignment horizontal="center" vertical="center"/>
    </xf>
    <xf numFmtId="2" fontId="4" fillId="0" borderId="1" xfId="0" applyNumberFormat="1" applyFont="1" applyBorder="1" applyAlignment="1">
      <alignment horizontal="center" vertical="center"/>
    </xf>
    <xf numFmtId="2" fontId="1" fillId="2" borderId="1" xfId="0" applyNumberFormat="1" applyFont="1" applyFill="1" applyBorder="1" applyAlignment="1">
      <alignment horizontal="center"/>
    </xf>
    <xf numFmtId="2" fontId="0" fillId="0" borderId="8" xfId="0" applyNumberFormat="1" applyBorder="1" applyAlignment="1">
      <alignment horizontal="center" vertical="center"/>
    </xf>
    <xf numFmtId="2" fontId="4" fillId="10" borderId="1" xfId="0" applyNumberFormat="1" applyFont="1" applyFill="1" applyBorder="1" applyAlignment="1">
      <alignment horizontal="center" vertical="center"/>
    </xf>
    <xf numFmtId="2" fontId="1" fillId="24" borderId="1" xfId="0" applyNumberFormat="1" applyFont="1" applyFill="1" applyBorder="1" applyAlignment="1">
      <alignment horizontal="center" vertical="center"/>
    </xf>
    <xf numFmtId="2" fontId="1" fillId="18" borderId="1" xfId="0" applyNumberFormat="1" applyFont="1" applyFill="1" applyBorder="1" applyAlignment="1">
      <alignment horizontal="center" vertical="center"/>
    </xf>
    <xf numFmtId="0" fontId="0" fillId="33" borderId="1" xfId="0" applyFill="1" applyBorder="1" applyAlignment="1">
      <alignment horizontal="center" vertical="center"/>
    </xf>
    <xf numFmtId="0" fontId="119" fillId="34" borderId="0" xfId="0" applyFont="1" applyFill="1" applyAlignment="1">
      <alignment horizontal="left" vertical="center" wrapText="1" indent="1"/>
    </xf>
    <xf numFmtId="0" fontId="119" fillId="34" borderId="0" xfId="0" applyFont="1" applyFill="1" applyAlignment="1">
      <alignment horizontal="center" vertical="center" wrapText="1"/>
    </xf>
    <xf numFmtId="0" fontId="120" fillId="12" borderId="0" xfId="0" applyFont="1" applyFill="1" applyAlignment="1">
      <alignment horizontal="left" vertical="top" wrapText="1" indent="1"/>
    </xf>
    <xf numFmtId="0" fontId="121" fillId="12" borderId="0" xfId="0" applyFont="1" applyFill="1" applyAlignment="1">
      <alignment horizontal="center" vertical="top" wrapText="1"/>
    </xf>
    <xf numFmtId="0" fontId="120" fillId="9" borderId="0" xfId="0" applyFont="1" applyFill="1" applyAlignment="1">
      <alignment horizontal="left" vertical="top" wrapText="1" indent="1"/>
    </xf>
    <xf numFmtId="0" fontId="121" fillId="9" borderId="0" xfId="0" applyFont="1" applyFill="1" applyAlignment="1">
      <alignment horizontal="center" vertical="top" wrapText="1"/>
    </xf>
    <xf numFmtId="0" fontId="121" fillId="9" borderId="0" xfId="0" applyFont="1" applyFill="1" applyAlignment="1">
      <alignment horizontal="left" vertical="top" wrapText="1" indent="1"/>
    </xf>
    <xf numFmtId="0" fontId="121" fillId="12" borderId="0" xfId="0" applyFont="1" applyFill="1" applyAlignment="1">
      <alignment horizontal="left" vertical="top" wrapText="1" indent="1"/>
    </xf>
    <xf numFmtId="0" fontId="122" fillId="12" borderId="0" xfId="0" applyFont="1" applyFill="1" applyAlignment="1">
      <alignment horizontal="left" vertical="top" wrapText="1" indent="1"/>
    </xf>
    <xf numFmtId="0" fontId="123" fillId="12" borderId="0" xfId="0" applyFont="1" applyFill="1" applyAlignment="1">
      <alignment horizontal="center" vertical="top" wrapText="1"/>
    </xf>
    <xf numFmtId="0" fontId="122" fillId="9" borderId="0" xfId="0" applyFont="1" applyFill="1" applyAlignment="1">
      <alignment horizontal="left" vertical="top" wrapText="1" indent="1"/>
    </xf>
    <xf numFmtId="0" fontId="123" fillId="9" borderId="0" xfId="0" applyFont="1" applyFill="1" applyAlignment="1">
      <alignment horizontal="center" vertical="top" wrapText="1"/>
    </xf>
    <xf numFmtId="0" fontId="122" fillId="2" borderId="0" xfId="0" applyFont="1" applyFill="1" applyAlignment="1">
      <alignment horizontal="left" vertical="top" wrapText="1" indent="1"/>
    </xf>
    <xf numFmtId="0" fontId="123" fillId="2" borderId="0" xfId="0" applyFont="1" applyFill="1" applyAlignment="1">
      <alignment horizontal="center" vertical="top" wrapText="1"/>
    </xf>
    <xf numFmtId="0" fontId="1" fillId="22" borderId="1" xfId="0" applyFont="1" applyFill="1" applyBorder="1" applyAlignment="1">
      <alignment horizontal="center" vertical="center"/>
    </xf>
    <xf numFmtId="0" fontId="1" fillId="25" borderId="1" xfId="0" applyFont="1" applyFill="1" applyBorder="1" applyAlignment="1">
      <alignment horizontal="center" vertical="center"/>
    </xf>
    <xf numFmtId="0" fontId="0" fillId="25" borderId="1" xfId="0" applyFill="1" applyBorder="1" applyAlignment="1">
      <alignment horizontal="center" vertical="center"/>
    </xf>
    <xf numFmtId="0" fontId="118" fillId="22" borderId="1" xfId="0" applyFont="1" applyFill="1" applyBorder="1" applyAlignment="1">
      <alignment horizontal="center" vertical="center"/>
    </xf>
    <xf numFmtId="0" fontId="1" fillId="35" borderId="1" xfId="0" applyFont="1" applyFill="1" applyBorder="1" applyAlignment="1">
      <alignment horizontal="center" vertical="center"/>
    </xf>
    <xf numFmtId="0" fontId="0" fillId="35" borderId="1" xfId="0" applyFill="1" applyBorder="1" applyAlignment="1">
      <alignment horizontal="center" vertical="center"/>
    </xf>
    <xf numFmtId="0" fontId="1" fillId="33" borderId="1" xfId="0" applyFont="1" applyFill="1" applyBorder="1" applyAlignment="1">
      <alignment horizontal="center" vertical="center"/>
    </xf>
    <xf numFmtId="0" fontId="1" fillId="36" borderId="1" xfId="0" applyFont="1" applyFill="1" applyBorder="1" applyAlignment="1">
      <alignment horizontal="center" vertical="center"/>
    </xf>
    <xf numFmtId="0" fontId="0" fillId="22" borderId="7" xfId="0" applyFill="1" applyBorder="1" applyAlignment="1">
      <alignment horizontal="center" vertical="center"/>
    </xf>
    <xf numFmtId="0" fontId="0" fillId="35" borderId="8" xfId="0" applyFill="1" applyBorder="1" applyAlignment="1">
      <alignment horizontal="center" vertical="center"/>
    </xf>
    <xf numFmtId="0" fontId="1" fillId="0" borderId="8" xfId="0" applyFont="1" applyBorder="1" applyAlignment="1">
      <alignment horizontal="center" vertical="center"/>
    </xf>
    <xf numFmtId="10" fontId="1" fillId="6" borderId="1" xfId="0" applyNumberFormat="1" applyFont="1" applyFill="1" applyBorder="1" applyAlignment="1">
      <alignment horizontal="center" vertical="center" wrapText="1"/>
    </xf>
    <xf numFmtId="0" fontId="4" fillId="30" borderId="1" xfId="0" applyFont="1" applyFill="1" applyBorder="1" applyAlignment="1">
      <alignment horizontal="center" vertical="center"/>
    </xf>
    <xf numFmtId="2" fontId="29" fillId="30" borderId="1" xfId="0" applyNumberFormat="1" applyFont="1" applyFill="1" applyBorder="1" applyAlignment="1">
      <alignment horizontal="center" vertical="center"/>
    </xf>
    <xf numFmtId="2" fontId="4" fillId="30" borderId="1" xfId="0" applyNumberFormat="1" applyFont="1" applyFill="1" applyBorder="1" applyAlignment="1">
      <alignment horizontal="center" vertical="center"/>
    </xf>
    <xf numFmtId="0" fontId="1" fillId="24" borderId="7" xfId="0" applyFont="1" applyFill="1" applyBorder="1" applyAlignment="1">
      <alignment horizontal="center" vertical="center" wrapText="1"/>
    </xf>
    <xf numFmtId="10" fontId="1" fillId="24" borderId="7" xfId="0" applyNumberFormat="1" applyFont="1" applyFill="1" applyBorder="1" applyAlignment="1">
      <alignment horizontal="center" vertical="center"/>
    </xf>
    <xf numFmtId="0" fontId="116" fillId="24" borderId="7" xfId="0" applyFont="1" applyFill="1" applyBorder="1" applyAlignment="1">
      <alignment horizontal="center" vertical="center" wrapText="1"/>
    </xf>
    <xf numFmtId="0" fontId="1" fillId="24" borderId="7" xfId="0" applyFont="1" applyFill="1" applyBorder="1" applyAlignment="1">
      <alignment horizontal="center" vertical="center"/>
    </xf>
    <xf numFmtId="0" fontId="10" fillId="10" borderId="0" xfId="0" applyFont="1" applyFill="1" applyAlignment="1">
      <alignment vertical="center"/>
    </xf>
    <xf numFmtId="0" fontId="44" fillId="10" borderId="1" xfId="0" applyFont="1" applyFill="1" applyBorder="1" applyAlignment="1">
      <alignment horizontal="center" vertical="center" wrapText="1"/>
    </xf>
    <xf numFmtId="0" fontId="10" fillId="10" borderId="0" xfId="0" applyFont="1" applyFill="1" applyAlignment="1">
      <alignment horizontal="center" vertical="center"/>
    </xf>
    <xf numFmtId="0" fontId="10" fillId="10" borderId="1" xfId="0" applyFont="1" applyFill="1" applyBorder="1" applyAlignment="1">
      <alignment horizontal="left" vertical="center" wrapText="1"/>
    </xf>
    <xf numFmtId="1" fontId="10" fillId="10" borderId="1" xfId="0" applyNumberFormat="1" applyFont="1" applyFill="1" applyBorder="1" applyAlignment="1">
      <alignment horizontal="center" vertical="center" wrapText="1"/>
    </xf>
    <xf numFmtId="1" fontId="9" fillId="2" borderId="14" xfId="0" applyNumberFormat="1" applyFont="1" applyFill="1" applyBorder="1" applyAlignment="1">
      <alignment horizontal="center" vertical="center"/>
    </xf>
    <xf numFmtId="1" fontId="9" fillId="2" borderId="6" xfId="0" applyNumberFormat="1" applyFont="1" applyFill="1" applyBorder="1" applyAlignment="1">
      <alignment horizontal="center" vertical="center"/>
    </xf>
    <xf numFmtId="2" fontId="9" fillId="2" borderId="1" xfId="0" applyNumberFormat="1" applyFont="1" applyFill="1" applyBorder="1" applyAlignment="1">
      <alignment horizontal="center" vertical="center"/>
    </xf>
    <xf numFmtId="2" fontId="13" fillId="6" borderId="1" xfId="0" applyNumberFormat="1" applyFont="1" applyFill="1" applyBorder="1" applyAlignment="1">
      <alignment horizontal="center" vertical="center"/>
    </xf>
    <xf numFmtId="0" fontId="13" fillId="6" borderId="1" xfId="0" applyFont="1" applyFill="1" applyBorder="1" applyAlignment="1">
      <alignment horizontal="center" vertical="center" wrapText="1"/>
    </xf>
    <xf numFmtId="0" fontId="1" fillId="6" borderId="2" xfId="0" applyFont="1" applyFill="1" applyBorder="1" applyAlignment="1">
      <alignment horizontal="left" vertical="top" wrapText="1"/>
    </xf>
    <xf numFmtId="0" fontId="124" fillId="6" borderId="2" xfId="0" applyFont="1" applyFill="1" applyBorder="1" applyAlignment="1">
      <alignment horizontal="left" vertical="top" wrapText="1"/>
    </xf>
    <xf numFmtId="0" fontId="51" fillId="6" borderId="1" xfId="0" applyFont="1" applyFill="1" applyBorder="1" applyAlignment="1">
      <alignment horizontal="center" vertical="center" wrapText="1"/>
    </xf>
    <xf numFmtId="0" fontId="51" fillId="6" borderId="1" xfId="0" applyFont="1" applyFill="1" applyBorder="1" applyAlignment="1">
      <alignment horizontal="center" vertical="center"/>
    </xf>
    <xf numFmtId="49" fontId="52" fillId="6" borderId="1" xfId="0" applyNumberFormat="1" applyFont="1" applyFill="1" applyBorder="1" applyAlignment="1">
      <alignment horizontal="center" vertical="center" wrapText="1"/>
    </xf>
    <xf numFmtId="2" fontId="13" fillId="6" borderId="1" xfId="0" applyNumberFormat="1" applyFont="1" applyFill="1" applyBorder="1" applyAlignment="1">
      <alignment horizontal="center" vertical="center" wrapText="1"/>
    </xf>
    <xf numFmtId="49" fontId="13" fillId="6" borderId="1" xfId="0" applyNumberFormat="1" applyFont="1" applyFill="1" applyBorder="1" applyAlignment="1">
      <alignment horizontal="center" vertical="center" wrapText="1"/>
    </xf>
    <xf numFmtId="0" fontId="52" fillId="6" borderId="1" xfId="0" applyFont="1" applyFill="1" applyBorder="1" applyAlignment="1">
      <alignment horizontal="center" vertical="center" wrapText="1"/>
    </xf>
    <xf numFmtId="2" fontId="52" fillId="6" borderId="1" xfId="0" applyNumberFormat="1" applyFont="1" applyFill="1" applyBorder="1" applyAlignment="1">
      <alignment horizontal="center" vertical="center" wrapText="1"/>
    </xf>
    <xf numFmtId="1" fontId="52" fillId="6" borderId="14" xfId="0" applyNumberFormat="1" applyFont="1" applyFill="1" applyBorder="1" applyAlignment="1">
      <alignment horizontal="center" vertical="center" wrapText="1"/>
    </xf>
    <xf numFmtId="2" fontId="12" fillId="8" borderId="27" xfId="0" applyNumberFormat="1" applyFont="1" applyFill="1" applyBorder="1" applyAlignment="1">
      <alignment horizontal="center" vertical="center" wrapText="1"/>
    </xf>
    <xf numFmtId="1" fontId="12" fillId="8" borderId="6" xfId="0" applyNumberFormat="1" applyFont="1" applyFill="1" applyBorder="1" applyAlignment="1">
      <alignment horizontal="center" vertical="center" wrapText="1"/>
    </xf>
    <xf numFmtId="10" fontId="12" fillId="8" borderId="1" xfId="0" applyNumberFormat="1" applyFont="1" applyFill="1" applyBorder="1" applyAlignment="1">
      <alignment horizontal="center" vertical="center" wrapText="1"/>
    </xf>
    <xf numFmtId="1" fontId="12" fillId="8" borderId="1" xfId="0" applyNumberFormat="1" applyFont="1" applyFill="1" applyBorder="1" applyAlignment="1">
      <alignment horizontal="center" vertical="center" wrapText="1"/>
    </xf>
    <xf numFmtId="0" fontId="13" fillId="8" borderId="1" xfId="0" applyFont="1" applyFill="1" applyBorder="1" applyAlignment="1">
      <alignment horizontal="left" vertical="top" wrapText="1"/>
    </xf>
    <xf numFmtId="0" fontId="13" fillId="8" borderId="1" xfId="0" applyFont="1" applyFill="1" applyBorder="1" applyAlignment="1">
      <alignment horizontal="center" vertical="center" wrapText="1"/>
    </xf>
    <xf numFmtId="0" fontId="72" fillId="6" borderId="1" xfId="0" applyFont="1" applyFill="1" applyBorder="1" applyAlignment="1">
      <alignment horizontal="left" vertical="top" wrapText="1"/>
    </xf>
    <xf numFmtId="0" fontId="100" fillId="20" borderId="0" xfId="0" applyFont="1" applyFill="1" applyAlignment="1">
      <alignment horizontal="center" vertical="center" wrapText="1"/>
    </xf>
    <xf numFmtId="49" fontId="8" fillId="20" borderId="1" xfId="0" applyNumberFormat="1" applyFont="1" applyFill="1" applyBorder="1" applyAlignment="1">
      <alignment horizontal="center" vertical="center" wrapText="1"/>
    </xf>
    <xf numFmtId="0" fontId="9" fillId="20" borderId="1" xfId="0" applyFont="1" applyFill="1" applyBorder="1" applyAlignment="1">
      <alignment horizontal="center" vertical="center" wrapText="1"/>
    </xf>
    <xf numFmtId="2" fontId="9" fillId="20" borderId="1" xfId="0" applyNumberFormat="1" applyFont="1" applyFill="1" applyBorder="1" applyAlignment="1">
      <alignment horizontal="center" vertical="center" wrapText="1"/>
    </xf>
    <xf numFmtId="1" fontId="9" fillId="20" borderId="14" xfId="0" applyNumberFormat="1" applyFont="1" applyFill="1" applyBorder="1" applyAlignment="1">
      <alignment horizontal="center" vertical="center" wrapText="1"/>
    </xf>
    <xf numFmtId="1" fontId="9" fillId="20" borderId="6" xfId="0" applyNumberFormat="1" applyFont="1" applyFill="1" applyBorder="1" applyAlignment="1">
      <alignment horizontal="center" vertical="center" wrapText="1"/>
    </xf>
    <xf numFmtId="10" fontId="56" fillId="20" borderId="1" xfId="0" applyNumberFormat="1" applyFont="1" applyFill="1" applyBorder="1" applyAlignment="1">
      <alignment horizontal="center" vertical="center" wrapText="1"/>
    </xf>
    <xf numFmtId="1" fontId="56" fillId="20" borderId="1" xfId="0" applyNumberFormat="1" applyFont="1" applyFill="1" applyBorder="1" applyAlignment="1">
      <alignment horizontal="center" vertical="center" wrapText="1"/>
    </xf>
    <xf numFmtId="49" fontId="9" fillId="20" borderId="1" xfId="0" applyNumberFormat="1" applyFont="1" applyFill="1" applyBorder="1" applyAlignment="1">
      <alignment horizontal="center" vertical="center" wrapText="1"/>
    </xf>
    <xf numFmtId="49" fontId="9" fillId="20" borderId="1" xfId="0" applyNumberFormat="1" applyFont="1" applyFill="1" applyBorder="1" applyAlignment="1">
      <alignment horizontal="left" vertical="top" wrapText="1" readingOrder="1"/>
    </xf>
    <xf numFmtId="0" fontId="96" fillId="20" borderId="1" xfId="0" applyFont="1" applyFill="1" applyBorder="1" applyAlignment="1">
      <alignment horizontal="center" vertical="center" wrapText="1"/>
    </xf>
    <xf numFmtId="10" fontId="1" fillId="31" borderId="1" xfId="0" applyNumberFormat="1" applyFont="1" applyFill="1" applyBorder="1" applyAlignment="1">
      <alignment horizontal="center" vertical="center"/>
    </xf>
    <xf numFmtId="0" fontId="1" fillId="4" borderId="1" xfId="0" applyFont="1" applyFill="1" applyBorder="1" applyAlignment="1">
      <alignment horizontal="center" vertical="center"/>
    </xf>
    <xf numFmtId="0" fontId="4" fillId="4" borderId="1" xfId="0" applyFont="1" applyFill="1" applyBorder="1" applyAlignment="1">
      <alignment horizontal="center" vertical="center"/>
    </xf>
    <xf numFmtId="0" fontId="4" fillId="31" borderId="1" xfId="0" applyFont="1" applyFill="1" applyBorder="1" applyAlignment="1">
      <alignment horizontal="center" vertical="center"/>
    </xf>
    <xf numFmtId="10" fontId="4" fillId="31" borderId="1" xfId="0" applyNumberFormat="1" applyFont="1" applyFill="1" applyBorder="1" applyAlignment="1">
      <alignment horizontal="center" vertical="center"/>
    </xf>
    <xf numFmtId="0" fontId="1" fillId="30" borderId="1" xfId="0" applyFont="1" applyFill="1" applyBorder="1" applyAlignment="1">
      <alignment horizontal="center" vertical="center"/>
    </xf>
    <xf numFmtId="0" fontId="1" fillId="37" borderId="1" xfId="0" applyFont="1" applyFill="1" applyBorder="1" applyAlignment="1">
      <alignment horizontal="center" vertical="center"/>
    </xf>
    <xf numFmtId="4" fontId="0" fillId="0" borderId="0" xfId="0" applyNumberFormat="1"/>
    <xf numFmtId="0" fontId="1" fillId="2" borderId="0" xfId="0" applyFont="1" applyFill="1" applyAlignment="1">
      <alignment horizontal="center"/>
    </xf>
    <xf numFmtId="0" fontId="0" fillId="2" borderId="1" xfId="0" applyFill="1" applyBorder="1" applyAlignment="1">
      <alignment horizontal="center"/>
    </xf>
    <xf numFmtId="10" fontId="1" fillId="2" borderId="1" xfId="0" applyNumberFormat="1" applyFont="1" applyFill="1" applyBorder="1" applyAlignment="1">
      <alignment horizontal="center" vertical="center"/>
    </xf>
    <xf numFmtId="0" fontId="1" fillId="25" borderId="1" xfId="0" applyFont="1" applyFill="1" applyBorder="1" applyAlignment="1">
      <alignment horizontal="center"/>
    </xf>
    <xf numFmtId="0" fontId="0" fillId="25" borderId="1" xfId="0" applyFill="1" applyBorder="1" applyAlignment="1">
      <alignment horizontal="center"/>
    </xf>
    <xf numFmtId="0" fontId="1" fillId="25" borderId="0" xfId="0" applyFont="1" applyFill="1" applyAlignment="1">
      <alignment horizontal="center"/>
    </xf>
    <xf numFmtId="0" fontId="51" fillId="0" borderId="1" xfId="0" applyFont="1" applyBorder="1" applyAlignment="1">
      <alignment horizontal="center" vertical="center"/>
    </xf>
    <xf numFmtId="1" fontId="1" fillId="2" borderId="0" xfId="0" applyNumberFormat="1" applyFont="1" applyFill="1" applyAlignment="1">
      <alignment horizontal="center"/>
    </xf>
    <xf numFmtId="1" fontId="1" fillId="25" borderId="0" xfId="0" applyNumberFormat="1" applyFont="1" applyFill="1" applyAlignment="1">
      <alignment horizontal="center"/>
    </xf>
    <xf numFmtId="1" fontId="1" fillId="25" borderId="0" xfId="0" applyNumberFormat="1" applyFont="1" applyFill="1"/>
    <xf numFmtId="0" fontId="6" fillId="0" borderId="1" xfId="0" applyFont="1" applyBorder="1" applyAlignment="1">
      <alignment horizontal="center" vertical="center"/>
    </xf>
    <xf numFmtId="0" fontId="4" fillId="8" borderId="0" xfId="0" applyFont="1" applyFill="1" applyAlignment="1">
      <alignment horizontal="center" vertical="center"/>
    </xf>
    <xf numFmtId="0" fontId="4" fillId="0" borderId="0" xfId="0" applyFont="1" applyAlignment="1">
      <alignment horizontal="center" vertical="center"/>
    </xf>
    <xf numFmtId="0" fontId="29" fillId="0" borderId="0" xfId="0" applyFont="1" applyAlignment="1">
      <alignment horizontal="center" vertical="center"/>
    </xf>
    <xf numFmtId="0" fontId="0" fillId="0" borderId="8" xfId="0" applyBorder="1"/>
    <xf numFmtId="0" fontId="26" fillId="0" borderId="1" xfId="0" applyFont="1" applyBorder="1" applyAlignment="1">
      <alignment horizontal="center" vertical="center"/>
    </xf>
    <xf numFmtId="0" fontId="29" fillId="30" borderId="20" xfId="0" applyFont="1" applyFill="1" applyBorder="1" applyAlignment="1">
      <alignment horizontal="center" vertical="center"/>
    </xf>
    <xf numFmtId="0" fontId="4" fillId="30" borderId="20" xfId="0" applyFont="1" applyFill="1" applyBorder="1" applyAlignment="1">
      <alignment horizontal="center" vertical="center"/>
    </xf>
    <xf numFmtId="2" fontId="104" fillId="8" borderId="1" xfId="0" applyNumberFormat="1" applyFont="1" applyFill="1" applyBorder="1" applyAlignment="1">
      <alignment horizontal="center" vertical="center"/>
    </xf>
    <xf numFmtId="0" fontId="1" fillId="25" borderId="1" xfId="0" applyFont="1" applyFill="1" applyBorder="1" applyAlignment="1">
      <alignment horizontal="center" vertical="center" wrapText="1"/>
    </xf>
    <xf numFmtId="10" fontId="0" fillId="25" borderId="1" xfId="0" applyNumberFormat="1" applyFill="1" applyBorder="1" applyAlignment="1">
      <alignment horizontal="center" vertical="center"/>
    </xf>
    <xf numFmtId="0" fontId="1" fillId="0" borderId="15" xfId="0" applyFont="1" applyBorder="1"/>
    <xf numFmtId="0" fontId="1" fillId="25" borderId="12" xfId="0" applyFont="1" applyFill="1" applyBorder="1"/>
    <xf numFmtId="0" fontId="68" fillId="25" borderId="1" xfId="0" applyFont="1" applyFill="1" applyBorder="1" applyAlignment="1">
      <alignment horizontal="center" vertical="center"/>
    </xf>
    <xf numFmtId="0" fontId="68" fillId="11" borderId="1" xfId="0" applyFont="1" applyFill="1" applyBorder="1" applyAlignment="1">
      <alignment horizontal="center" vertical="center"/>
    </xf>
    <xf numFmtId="0" fontId="73" fillId="11" borderId="1" xfId="0" applyFont="1" applyFill="1" applyBorder="1" applyAlignment="1">
      <alignment horizontal="center" vertical="center"/>
    </xf>
    <xf numFmtId="2" fontId="73" fillId="11" borderId="1" xfId="0" applyNumberFormat="1" applyFont="1" applyFill="1" applyBorder="1" applyAlignment="1">
      <alignment horizontal="center" vertical="center"/>
    </xf>
    <xf numFmtId="1" fontId="73" fillId="11" borderId="14" xfId="0" applyNumberFormat="1" applyFont="1" applyFill="1" applyBorder="1" applyAlignment="1">
      <alignment horizontal="center" vertical="center"/>
    </xf>
    <xf numFmtId="1" fontId="73" fillId="11" borderId="6" xfId="0" applyNumberFormat="1" applyFont="1" applyFill="1" applyBorder="1" applyAlignment="1">
      <alignment horizontal="center" vertical="center"/>
    </xf>
    <xf numFmtId="10" fontId="62" fillId="11" borderId="1" xfId="0" applyNumberFormat="1" applyFont="1" applyFill="1" applyBorder="1" applyAlignment="1">
      <alignment horizontal="center" vertical="center"/>
    </xf>
    <xf numFmtId="1" fontId="62" fillId="11" borderId="1" xfId="0" applyNumberFormat="1" applyFont="1" applyFill="1" applyBorder="1" applyAlignment="1">
      <alignment horizontal="center" vertical="center"/>
    </xf>
    <xf numFmtId="49" fontId="72" fillId="2" borderId="1" xfId="0" applyNumberFormat="1" applyFont="1" applyFill="1" applyBorder="1" applyAlignment="1">
      <alignment horizontal="center" vertical="center" wrapText="1"/>
    </xf>
    <xf numFmtId="49" fontId="72" fillId="11" borderId="1" xfId="0" applyNumberFormat="1" applyFont="1" applyFill="1" applyBorder="1" applyAlignment="1">
      <alignment horizontal="center" vertical="center" wrapText="1"/>
    </xf>
    <xf numFmtId="49" fontId="68" fillId="2" borderId="1" xfId="0" applyNumberFormat="1" applyFont="1" applyFill="1" applyBorder="1" applyAlignment="1">
      <alignment horizontal="center" vertical="center" wrapText="1"/>
    </xf>
    <xf numFmtId="2" fontId="72" fillId="2" borderId="1" xfId="0" applyNumberFormat="1" applyFont="1" applyFill="1" applyBorder="1" applyAlignment="1">
      <alignment horizontal="center" vertical="center" wrapText="1"/>
    </xf>
    <xf numFmtId="1" fontId="72" fillId="2" borderId="14" xfId="0" applyNumberFormat="1" applyFont="1" applyFill="1" applyBorder="1" applyAlignment="1">
      <alignment horizontal="center" vertical="center" wrapText="1"/>
    </xf>
    <xf numFmtId="1" fontId="72" fillId="2" borderId="6" xfId="0" applyNumberFormat="1" applyFont="1" applyFill="1" applyBorder="1" applyAlignment="1">
      <alignment horizontal="center" vertical="center" wrapText="1"/>
    </xf>
    <xf numFmtId="49" fontId="62" fillId="2" borderId="1" xfId="0" applyNumberFormat="1" applyFont="1" applyFill="1" applyBorder="1" applyAlignment="1">
      <alignment horizontal="center" vertical="center" wrapText="1"/>
    </xf>
    <xf numFmtId="49" fontId="72" fillId="2" borderId="14" xfId="0" applyNumberFormat="1" applyFont="1" applyFill="1" applyBorder="1" applyAlignment="1">
      <alignment horizontal="left" vertical="top" wrapText="1"/>
    </xf>
    <xf numFmtId="49" fontId="73" fillId="11" borderId="14" xfId="0" applyNumberFormat="1" applyFont="1" applyFill="1" applyBorder="1" applyAlignment="1">
      <alignment horizontal="left" vertical="top" wrapText="1" readingOrder="1"/>
    </xf>
    <xf numFmtId="0" fontId="9" fillId="11" borderId="14" xfId="0" applyFont="1" applyFill="1" applyBorder="1" applyAlignment="1">
      <alignment horizontal="left" vertical="top" wrapText="1"/>
    </xf>
    <xf numFmtId="0" fontId="73" fillId="11" borderId="14" xfId="0" applyFont="1" applyFill="1" applyBorder="1" applyAlignment="1">
      <alignment horizontal="left" vertical="top" wrapText="1"/>
    </xf>
    <xf numFmtId="0" fontId="8" fillId="2" borderId="14" xfId="0" applyFont="1" applyFill="1" applyBorder="1" applyAlignment="1">
      <alignment horizontal="left" vertical="top" wrapText="1"/>
    </xf>
    <xf numFmtId="0" fontId="9" fillId="11" borderId="6" xfId="0" applyFont="1" applyFill="1" applyBorder="1" applyAlignment="1">
      <alignment horizontal="center" vertical="center"/>
    </xf>
    <xf numFmtId="0" fontId="68" fillId="11" borderId="9" xfId="0" applyFont="1" applyFill="1" applyBorder="1" applyAlignment="1">
      <alignment horizontal="center" vertical="center"/>
    </xf>
    <xf numFmtId="0" fontId="68" fillId="2" borderId="1" xfId="0" applyFont="1" applyFill="1" applyBorder="1" applyAlignment="1">
      <alignment horizontal="center" vertical="center"/>
    </xf>
    <xf numFmtId="0" fontId="73" fillId="2" borderId="1" xfId="0" applyFont="1" applyFill="1" applyBorder="1" applyAlignment="1">
      <alignment horizontal="center" vertical="center"/>
    </xf>
    <xf numFmtId="2" fontId="73" fillId="2" borderId="1" xfId="0" applyNumberFormat="1" applyFont="1" applyFill="1" applyBorder="1" applyAlignment="1">
      <alignment horizontal="center" vertical="center"/>
    </xf>
    <xf numFmtId="1" fontId="73" fillId="2" borderId="14" xfId="0" applyNumberFormat="1" applyFont="1" applyFill="1" applyBorder="1" applyAlignment="1">
      <alignment horizontal="center" vertical="center"/>
    </xf>
    <xf numFmtId="1" fontId="73" fillId="2" borderId="6" xfId="0" applyNumberFormat="1" applyFont="1" applyFill="1" applyBorder="1" applyAlignment="1">
      <alignment horizontal="center" vertical="center"/>
    </xf>
    <xf numFmtId="10" fontId="62" fillId="2" borderId="1" xfId="0" applyNumberFormat="1" applyFont="1" applyFill="1" applyBorder="1" applyAlignment="1">
      <alignment horizontal="center" vertical="center"/>
    </xf>
    <xf numFmtId="1" fontId="62" fillId="2" borderId="1" xfId="0" applyNumberFormat="1" applyFont="1" applyFill="1" applyBorder="1" applyAlignment="1">
      <alignment horizontal="center" vertical="center"/>
    </xf>
    <xf numFmtId="49" fontId="73" fillId="2" borderId="14" xfId="0" applyNumberFormat="1" applyFont="1" applyFill="1" applyBorder="1" applyAlignment="1">
      <alignment horizontal="left" vertical="top" wrapText="1" readingOrder="1"/>
    </xf>
    <xf numFmtId="0" fontId="9" fillId="2" borderId="0" xfId="0" applyFont="1" applyFill="1" applyAlignment="1">
      <alignment horizontal="center" vertical="center"/>
    </xf>
    <xf numFmtId="0" fontId="9" fillId="2" borderId="6" xfId="0" applyFont="1" applyFill="1" applyBorder="1" applyAlignment="1">
      <alignment horizontal="center" vertical="center"/>
    </xf>
    <xf numFmtId="0" fontId="73" fillId="2" borderId="14" xfId="0" applyFont="1" applyFill="1" applyBorder="1" applyAlignment="1">
      <alignment horizontal="left" vertical="top" wrapText="1"/>
    </xf>
    <xf numFmtId="0" fontId="68" fillId="2" borderId="9" xfId="0" applyFont="1" applyFill="1" applyBorder="1" applyAlignment="1">
      <alignment horizontal="center" vertical="center"/>
    </xf>
    <xf numFmtId="0" fontId="8" fillId="11" borderId="14" xfId="0" applyFont="1" applyFill="1" applyBorder="1" applyAlignment="1">
      <alignment horizontal="left" vertical="top" wrapText="1"/>
    </xf>
    <xf numFmtId="2" fontId="128" fillId="20" borderId="26" xfId="0" applyNumberFormat="1" applyFont="1" applyFill="1" applyBorder="1" applyAlignment="1">
      <alignment horizontal="center" vertical="center" wrapText="1"/>
    </xf>
    <xf numFmtId="2" fontId="52" fillId="20" borderId="27" xfId="0" applyNumberFormat="1" applyFont="1" applyFill="1" applyBorder="1" applyAlignment="1">
      <alignment horizontal="center" vertical="center"/>
    </xf>
    <xf numFmtId="2" fontId="128" fillId="10" borderId="26" xfId="0" applyNumberFormat="1" applyFont="1" applyFill="1" applyBorder="1" applyAlignment="1">
      <alignment horizontal="center" vertical="center" wrapText="1"/>
    </xf>
    <xf numFmtId="2" fontId="52" fillId="10" borderId="27" xfId="0" applyNumberFormat="1" applyFont="1" applyFill="1" applyBorder="1" applyAlignment="1">
      <alignment horizontal="center" vertical="center"/>
    </xf>
    <xf numFmtId="2" fontId="128" fillId="20" borderId="27" xfId="0" applyNumberFormat="1" applyFont="1" applyFill="1" applyBorder="1" applyAlignment="1">
      <alignment horizontal="center" vertical="center"/>
    </xf>
    <xf numFmtId="0" fontId="51" fillId="20" borderId="0" xfId="0" applyFont="1" applyFill="1"/>
    <xf numFmtId="2" fontId="128" fillId="10" borderId="27" xfId="0" applyNumberFormat="1" applyFont="1" applyFill="1" applyBorder="1" applyAlignment="1">
      <alignment horizontal="center" vertical="center"/>
    </xf>
    <xf numFmtId="0" fontId="51" fillId="10" borderId="0" xfId="0" applyFont="1" applyFill="1"/>
    <xf numFmtId="49" fontId="72" fillId="11" borderId="14" xfId="0" applyNumberFormat="1" applyFont="1" applyFill="1" applyBorder="1" applyAlignment="1">
      <alignment horizontal="left" vertical="top" wrapText="1" readingOrder="1"/>
    </xf>
    <xf numFmtId="0" fontId="0" fillId="38" borderId="0" xfId="0" applyFill="1"/>
    <xf numFmtId="0" fontId="0" fillId="38" borderId="0" xfId="0" applyFill="1" applyAlignment="1">
      <alignment wrapText="1"/>
    </xf>
    <xf numFmtId="0" fontId="51" fillId="38" borderId="0" xfId="0" applyFont="1" applyFill="1"/>
    <xf numFmtId="0" fontId="11" fillId="2" borderId="14" xfId="0" applyFont="1" applyFill="1" applyBorder="1" applyAlignment="1">
      <alignment horizontal="left" vertical="top" wrapText="1"/>
    </xf>
    <xf numFmtId="0" fontId="11" fillId="20" borderId="14" xfId="0" applyFont="1" applyFill="1" applyBorder="1" applyAlignment="1">
      <alignment horizontal="left" vertical="top" wrapText="1"/>
    </xf>
    <xf numFmtId="0" fontId="1" fillId="2" borderId="6" xfId="0" applyFont="1" applyFill="1" applyBorder="1"/>
    <xf numFmtId="0" fontId="0" fillId="39" borderId="1" xfId="0" applyFill="1" applyBorder="1" applyAlignment="1">
      <alignment horizontal="center" vertical="center"/>
    </xf>
    <xf numFmtId="0" fontId="0" fillId="39" borderId="0" xfId="0" applyFill="1"/>
    <xf numFmtId="0" fontId="0" fillId="6" borderId="1" xfId="0" applyFill="1" applyBorder="1" applyAlignment="1">
      <alignment horizontal="center" vertical="center" wrapText="1"/>
    </xf>
    <xf numFmtId="0" fontId="0" fillId="26" borderId="1" xfId="0" applyFill="1" applyBorder="1" applyAlignment="1">
      <alignment horizontal="center" vertical="center" wrapText="1"/>
    </xf>
    <xf numFmtId="0" fontId="1" fillId="20" borderId="1" xfId="0" applyFont="1" applyFill="1" applyBorder="1" applyAlignment="1">
      <alignment horizontal="center" vertical="center"/>
    </xf>
    <xf numFmtId="0" fontId="11" fillId="2" borderId="7" xfId="0" applyFont="1" applyFill="1" applyBorder="1" applyAlignment="1">
      <alignment horizontal="center" vertical="center"/>
    </xf>
    <xf numFmtId="49" fontId="11" fillId="2" borderId="7" xfId="0" applyNumberFormat="1" applyFont="1" applyFill="1" applyBorder="1" applyAlignment="1">
      <alignment horizontal="center" vertical="center" wrapText="1"/>
    </xf>
    <xf numFmtId="2" fontId="11" fillId="2" borderId="7" xfId="0" applyNumberFormat="1" applyFont="1" applyFill="1" applyBorder="1" applyAlignment="1">
      <alignment horizontal="center" vertical="center"/>
    </xf>
    <xf numFmtId="1" fontId="11" fillId="2" borderId="7" xfId="0" applyNumberFormat="1" applyFont="1" applyFill="1" applyBorder="1" applyAlignment="1">
      <alignment horizontal="center" vertical="center"/>
    </xf>
    <xf numFmtId="0" fontId="11" fillId="10" borderId="7" xfId="0" applyFont="1" applyFill="1" applyBorder="1" applyAlignment="1">
      <alignment horizontal="center" vertical="center"/>
    </xf>
    <xf numFmtId="10" fontId="11" fillId="2" borderId="7" xfId="0" applyNumberFormat="1" applyFont="1" applyFill="1" applyBorder="1" applyAlignment="1">
      <alignment horizontal="center" vertical="center"/>
    </xf>
    <xf numFmtId="0" fontId="83" fillId="2" borderId="7" xfId="0" applyFont="1" applyFill="1" applyBorder="1" applyAlignment="1">
      <alignment horizontal="left" vertical="top" wrapText="1"/>
    </xf>
    <xf numFmtId="0" fontId="1" fillId="2" borderId="7" xfId="0" applyFont="1" applyFill="1" applyBorder="1" applyAlignment="1">
      <alignment vertical="top" wrapText="1"/>
    </xf>
    <xf numFmtId="0" fontId="83" fillId="20" borderId="1" xfId="0" applyFont="1" applyFill="1" applyBorder="1" applyAlignment="1">
      <alignment horizontal="left" vertical="top" wrapText="1"/>
    </xf>
    <xf numFmtId="0" fontId="1" fillId="20" borderId="1" xfId="0" applyFont="1" applyFill="1" applyBorder="1" applyAlignment="1">
      <alignment vertical="top" wrapText="1"/>
    </xf>
    <xf numFmtId="2" fontId="21" fillId="4" borderId="1" xfId="0" applyNumberFormat="1" applyFont="1" applyFill="1" applyBorder="1" applyAlignment="1">
      <alignment horizontal="center" vertical="center"/>
    </xf>
    <xf numFmtId="164" fontId="46" fillId="2" borderId="1" xfId="0" applyNumberFormat="1" applyFont="1" applyFill="1" applyBorder="1" applyAlignment="1">
      <alignment horizontal="center" vertical="center"/>
    </xf>
    <xf numFmtId="1" fontId="46" fillId="2" borderId="0" xfId="0" applyNumberFormat="1" applyFont="1" applyFill="1"/>
    <xf numFmtId="3" fontId="46" fillId="2" borderId="1" xfId="0" applyNumberFormat="1" applyFont="1" applyFill="1" applyBorder="1"/>
    <xf numFmtId="0" fontId="8" fillId="2" borderId="3" xfId="0" applyFont="1" applyFill="1" applyBorder="1" applyAlignment="1">
      <alignment horizontal="center" vertical="center"/>
    </xf>
    <xf numFmtId="49" fontId="10" fillId="6" borderId="2" xfId="0" applyNumberFormat="1" applyFont="1" applyFill="1" applyBorder="1" applyAlignment="1">
      <alignment horizontal="center" vertical="center" wrapText="1"/>
    </xf>
    <xf numFmtId="0" fontId="9" fillId="7" borderId="2" xfId="0" applyFont="1" applyFill="1" applyBorder="1" applyAlignment="1">
      <alignment horizontal="center" vertical="center"/>
    </xf>
    <xf numFmtId="49" fontId="11" fillId="10" borderId="2" xfId="0" applyNumberFormat="1" applyFont="1" applyFill="1" applyBorder="1" applyAlignment="1">
      <alignment horizontal="center" vertical="center" wrapText="1"/>
    </xf>
    <xf numFmtId="49" fontId="11" fillId="11" borderId="2" xfId="0" applyNumberFormat="1" applyFont="1" applyFill="1" applyBorder="1" applyAlignment="1">
      <alignment horizontal="center" vertical="center" wrapText="1"/>
    </xf>
    <xf numFmtId="0" fontId="9" fillId="11" borderId="2" xfId="0" applyFont="1" applyFill="1" applyBorder="1" applyAlignment="1">
      <alignment horizontal="center" vertical="center"/>
    </xf>
    <xf numFmtId="0" fontId="9" fillId="8" borderId="2" xfId="0" applyFont="1" applyFill="1" applyBorder="1" applyAlignment="1">
      <alignment horizontal="center" vertical="center"/>
    </xf>
    <xf numFmtId="0" fontId="8" fillId="11" borderId="2" xfId="0" applyFont="1" applyFill="1" applyBorder="1" applyAlignment="1">
      <alignment horizontal="center" vertical="center"/>
    </xf>
    <xf numFmtId="0" fontId="9" fillId="6" borderId="2" xfId="0" applyFont="1" applyFill="1" applyBorder="1" applyAlignment="1">
      <alignment horizontal="center" vertical="center"/>
    </xf>
    <xf numFmtId="49" fontId="10" fillId="0" borderId="2" xfId="0" applyNumberFormat="1" applyFont="1" applyBorder="1" applyAlignment="1">
      <alignment horizontal="center" vertical="center" wrapText="1" readingOrder="1"/>
    </xf>
    <xf numFmtId="49" fontId="10" fillId="0" borderId="2" xfId="0" applyNumberFormat="1" applyFont="1" applyBorder="1" applyAlignment="1">
      <alignment horizontal="center" vertical="center" wrapText="1"/>
    </xf>
    <xf numFmtId="49" fontId="9" fillId="0" borderId="2" xfId="0" applyNumberFormat="1" applyFont="1" applyBorder="1" applyAlignment="1">
      <alignment horizontal="center" vertical="center"/>
    </xf>
    <xf numFmtId="49" fontId="9" fillId="11" borderId="2" xfId="0" applyNumberFormat="1" applyFont="1" applyFill="1" applyBorder="1" applyAlignment="1">
      <alignment horizontal="center" vertical="center"/>
    </xf>
    <xf numFmtId="0" fontId="13" fillId="6" borderId="2" xfId="0" applyFont="1" applyFill="1" applyBorder="1" applyAlignment="1">
      <alignment horizontal="center" vertical="center" wrapText="1"/>
    </xf>
    <xf numFmtId="0" fontId="9" fillId="4" borderId="2" xfId="0" applyFont="1" applyFill="1" applyBorder="1" applyAlignment="1">
      <alignment horizontal="center" vertical="center"/>
    </xf>
    <xf numFmtId="0" fontId="8" fillId="8" borderId="2" xfId="0" applyFont="1" applyFill="1" applyBorder="1" applyAlignment="1">
      <alignment horizontal="center" vertical="center"/>
    </xf>
    <xf numFmtId="0" fontId="12" fillId="8" borderId="2" xfId="0" applyFont="1" applyFill="1" applyBorder="1" applyAlignment="1">
      <alignment horizontal="center" vertical="center"/>
    </xf>
    <xf numFmtId="49" fontId="11" fillId="10" borderId="2" xfId="0" applyNumberFormat="1" applyFont="1" applyFill="1" applyBorder="1" applyAlignment="1">
      <alignment horizontal="center" vertical="center" wrapText="1" readingOrder="1"/>
    </xf>
    <xf numFmtId="0" fontId="30" fillId="15" borderId="3" xfId="0" applyFont="1" applyFill="1" applyBorder="1" applyAlignment="1">
      <alignment horizontal="center" vertical="center" wrapText="1"/>
    </xf>
    <xf numFmtId="0" fontId="30" fillId="15" borderId="18" xfId="0" applyFont="1" applyFill="1" applyBorder="1" applyAlignment="1">
      <alignment horizontal="center" vertical="center" wrapText="1"/>
    </xf>
    <xf numFmtId="0" fontId="30" fillId="15" borderId="19" xfId="0" applyFont="1" applyFill="1" applyBorder="1" applyAlignment="1">
      <alignment horizontal="center" vertical="center" wrapText="1"/>
    </xf>
    <xf numFmtId="0" fontId="30" fillId="0" borderId="8" xfId="0" applyFont="1" applyBorder="1" applyAlignment="1">
      <alignment horizontal="center" vertical="center"/>
    </xf>
    <xf numFmtId="0" fontId="30" fillId="17" borderId="12" xfId="0" applyFont="1" applyFill="1" applyBorder="1" applyAlignment="1">
      <alignment horizontal="center" vertical="center" wrapText="1"/>
    </xf>
    <xf numFmtId="0" fontId="30" fillId="0" borderId="12" xfId="0" applyFont="1" applyBorder="1" applyAlignment="1">
      <alignment horizontal="center" vertical="center" wrapText="1"/>
    </xf>
    <xf numFmtId="0" fontId="30" fillId="0" borderId="11" xfId="0" applyFont="1" applyBorder="1" applyAlignment="1">
      <alignment horizontal="center" vertical="center" wrapText="1"/>
    </xf>
    <xf numFmtId="0" fontId="30" fillId="0" borderId="16" xfId="0" applyFont="1" applyBorder="1" applyAlignment="1">
      <alignment horizontal="center" vertical="center" wrapText="1"/>
    </xf>
    <xf numFmtId="3" fontId="30" fillId="0" borderId="16" xfId="0" applyNumberFormat="1" applyFont="1" applyBorder="1" applyAlignment="1">
      <alignment horizontal="center" vertical="center" wrapText="1"/>
    </xf>
    <xf numFmtId="0" fontId="30" fillId="0" borderId="22" xfId="0" applyFont="1" applyBorder="1" applyAlignment="1">
      <alignment horizontal="center" vertical="center" wrapText="1"/>
    </xf>
    <xf numFmtId="0" fontId="11" fillId="20" borderId="0" xfId="0" applyFont="1" applyFill="1" applyAlignment="1">
      <alignment horizontal="center" vertical="center"/>
    </xf>
    <xf numFmtId="2" fontId="11" fillId="20" borderId="0" xfId="0" applyNumberFormat="1" applyFont="1" applyFill="1" applyAlignment="1">
      <alignment horizontal="center" vertical="center"/>
    </xf>
    <xf numFmtId="1" fontId="11" fillId="20" borderId="0" xfId="0" applyNumberFormat="1" applyFont="1" applyFill="1" applyAlignment="1">
      <alignment horizontal="center" vertical="center"/>
    </xf>
    <xf numFmtId="10" fontId="11" fillId="20" borderId="0" xfId="0" applyNumberFormat="1" applyFont="1" applyFill="1" applyAlignment="1">
      <alignment horizontal="center" vertical="center"/>
    </xf>
    <xf numFmtId="0" fontId="83" fillId="20" borderId="0" xfId="0" applyFont="1" applyFill="1" applyAlignment="1">
      <alignment horizontal="left" vertical="top" wrapText="1"/>
    </xf>
    <xf numFmtId="0" fontId="1" fillId="20" borderId="0" xfId="0" applyFont="1" applyFill="1" applyAlignment="1">
      <alignment vertical="top" wrapText="1"/>
    </xf>
    <xf numFmtId="0" fontId="1" fillId="20" borderId="1" xfId="0" applyFont="1" applyFill="1" applyBorder="1"/>
    <xf numFmtId="0" fontId="1" fillId="20" borderId="1" xfId="0" applyFont="1" applyFill="1" applyBorder="1" applyAlignment="1">
      <alignment horizontal="center" vertical="center" wrapText="1"/>
    </xf>
    <xf numFmtId="0" fontId="1" fillId="20" borderId="0" xfId="0" applyFont="1" applyFill="1"/>
    <xf numFmtId="0" fontId="1" fillId="20" borderId="0" xfId="0" applyFont="1" applyFill="1" applyAlignment="1">
      <alignment wrapText="1"/>
    </xf>
    <xf numFmtId="0" fontId="129" fillId="0" borderId="0" xfId="0" applyFont="1" applyAlignment="1">
      <alignment horizontal="left" vertical="center" wrapText="1" indent="1"/>
    </xf>
    <xf numFmtId="0" fontId="130" fillId="2" borderId="0" xfId="0" applyFont="1" applyFill="1" applyAlignment="1">
      <alignment vertical="center" wrapText="1"/>
    </xf>
    <xf numFmtId="0" fontId="129" fillId="0" borderId="1" xfId="0" applyFont="1" applyBorder="1" applyAlignment="1">
      <alignment horizontal="center" vertical="center" wrapText="1"/>
    </xf>
    <xf numFmtId="10" fontId="129" fillId="0" borderId="1" xfId="0" applyNumberFormat="1" applyFont="1" applyBorder="1" applyAlignment="1">
      <alignment horizontal="center" vertical="center" wrapText="1"/>
    </xf>
    <xf numFmtId="0" fontId="129" fillId="10" borderId="1" xfId="0" applyFont="1" applyFill="1" applyBorder="1" applyAlignment="1">
      <alignment horizontal="center" vertical="center" wrapText="1"/>
    </xf>
    <xf numFmtId="10" fontId="129" fillId="10" borderId="1" xfId="0" applyNumberFormat="1" applyFont="1" applyFill="1" applyBorder="1" applyAlignment="1">
      <alignment horizontal="center" vertical="center" wrapText="1"/>
    </xf>
    <xf numFmtId="0" fontId="131" fillId="10" borderId="1" xfId="0" applyFont="1" applyFill="1" applyBorder="1" applyAlignment="1">
      <alignment horizontal="center" vertical="center" wrapText="1"/>
    </xf>
    <xf numFmtId="10" fontId="131" fillId="10" borderId="1" xfId="0" applyNumberFormat="1" applyFont="1" applyFill="1" applyBorder="1" applyAlignment="1">
      <alignment horizontal="center" vertical="center" wrapText="1"/>
    </xf>
    <xf numFmtId="0" fontId="8" fillId="20" borderId="1" xfId="0" applyFont="1" applyFill="1" applyBorder="1" applyAlignment="1">
      <alignment horizontal="center" vertical="center" wrapText="1"/>
    </xf>
    <xf numFmtId="2" fontId="8" fillId="20" borderId="1" xfId="0" applyNumberFormat="1" applyFont="1" applyFill="1" applyBorder="1" applyAlignment="1">
      <alignment horizontal="center" vertical="center" wrapText="1"/>
    </xf>
    <xf numFmtId="1" fontId="8" fillId="20" borderId="14" xfId="0" applyNumberFormat="1" applyFont="1" applyFill="1" applyBorder="1" applyAlignment="1">
      <alignment horizontal="center" vertical="center" wrapText="1"/>
    </xf>
    <xf numFmtId="1" fontId="8" fillId="20" borderId="6" xfId="0" applyNumberFormat="1" applyFont="1" applyFill="1" applyBorder="1" applyAlignment="1">
      <alignment horizontal="center" vertical="center" wrapText="1"/>
    </xf>
    <xf numFmtId="0" fontId="8" fillId="20" borderId="1" xfId="0" applyFont="1" applyFill="1" applyBorder="1" applyAlignment="1">
      <alignment horizontal="left" vertical="top" wrapText="1"/>
    </xf>
    <xf numFmtId="0" fontId="9" fillId="20" borderId="1" xfId="0" applyFont="1" applyFill="1" applyBorder="1" applyAlignment="1">
      <alignment horizontal="left" vertical="top" wrapText="1"/>
    </xf>
    <xf numFmtId="0" fontId="1" fillId="10" borderId="0" xfId="0" applyFont="1" applyFill="1" applyAlignment="1">
      <alignment horizontal="center" vertical="center" wrapText="1"/>
    </xf>
    <xf numFmtId="0" fontId="4" fillId="0" borderId="1" xfId="0" applyFont="1" applyBorder="1" applyAlignment="1">
      <alignment wrapText="1"/>
    </xf>
    <xf numFmtId="0" fontId="1" fillId="25" borderId="14" xfId="0" applyFont="1" applyFill="1" applyBorder="1" applyAlignment="1">
      <alignment horizontal="center" vertical="center"/>
    </xf>
    <xf numFmtId="2" fontId="13" fillId="2" borderId="1" xfId="0" applyNumberFormat="1" applyFont="1" applyFill="1" applyBorder="1" applyAlignment="1">
      <alignment horizontal="center" vertical="center" wrapText="1"/>
    </xf>
    <xf numFmtId="49" fontId="13" fillId="2" borderId="1" xfId="0" applyNumberFormat="1" applyFont="1" applyFill="1" applyBorder="1" applyAlignment="1">
      <alignment horizontal="center" vertical="center" wrapText="1"/>
    </xf>
    <xf numFmtId="2" fontId="52" fillId="2" borderId="27" xfId="0" applyNumberFormat="1" applyFont="1" applyFill="1" applyBorder="1" applyAlignment="1">
      <alignment horizontal="center" vertical="center" wrapText="1"/>
    </xf>
    <xf numFmtId="0" fontId="132" fillId="6" borderId="1" xfId="0" applyFont="1" applyFill="1" applyBorder="1" applyAlignment="1">
      <alignment horizontal="center" vertical="center" wrapText="1"/>
    </xf>
    <xf numFmtId="0" fontId="26" fillId="0" borderId="1" xfId="0" applyFont="1" applyBorder="1" applyAlignment="1">
      <alignment horizontal="center" vertical="center" wrapText="1"/>
    </xf>
    <xf numFmtId="10" fontId="51" fillId="6" borderId="1" xfId="0" applyNumberFormat="1" applyFont="1" applyFill="1" applyBorder="1" applyAlignment="1">
      <alignment horizontal="center" vertical="center" wrapText="1"/>
    </xf>
    <xf numFmtId="0" fontId="133" fillId="6" borderId="1" xfId="0" applyFont="1" applyFill="1" applyBorder="1" applyAlignment="1">
      <alignment horizontal="center" vertical="center" wrapText="1"/>
    </xf>
    <xf numFmtId="2" fontId="51" fillId="0" borderId="1" xfId="0" applyNumberFormat="1" applyFont="1" applyBorder="1" applyAlignment="1">
      <alignment horizontal="center"/>
    </xf>
    <xf numFmtId="0" fontId="134" fillId="0" borderId="1" xfId="0" applyFont="1" applyBorder="1"/>
    <xf numFmtId="6" fontId="135" fillId="0" borderId="1" xfId="0" applyNumberFormat="1" applyFont="1" applyBorder="1"/>
    <xf numFmtId="0" fontId="136" fillId="0" borderId="1" xfId="0" applyFont="1" applyBorder="1"/>
    <xf numFmtId="3" fontId="0" fillId="0" borderId="1" xfId="0" applyNumberFormat="1" applyBorder="1"/>
    <xf numFmtId="0" fontId="4" fillId="0" borderId="9" xfId="0" applyFont="1" applyBorder="1"/>
    <xf numFmtId="0" fontId="4" fillId="0" borderId="0" xfId="0" applyFont="1"/>
    <xf numFmtId="6" fontId="137" fillId="2" borderId="1" xfId="0" applyNumberFormat="1" applyFont="1" applyFill="1" applyBorder="1" applyAlignment="1">
      <alignment horizontal="center" vertical="center"/>
    </xf>
    <xf numFmtId="6" fontId="1" fillId="0" borderId="1" xfId="0" applyNumberFormat="1" applyFont="1" applyBorder="1" applyAlignment="1">
      <alignment horizontal="center" vertical="center"/>
    </xf>
    <xf numFmtId="164" fontId="1" fillId="2" borderId="1" xfId="0" applyNumberFormat="1" applyFont="1" applyFill="1" applyBorder="1" applyAlignment="1">
      <alignment horizontal="center" vertical="center"/>
    </xf>
    <xf numFmtId="0" fontId="135" fillId="0" borderId="14" xfId="0" applyFont="1" applyBorder="1"/>
    <xf numFmtId="0" fontId="134" fillId="0" borderId="14" xfId="0" applyFont="1" applyBorder="1"/>
    <xf numFmtId="164" fontId="1" fillId="0" borderId="14" xfId="0" applyNumberFormat="1" applyFont="1" applyBorder="1" applyAlignment="1">
      <alignment horizontal="center" vertical="center"/>
    </xf>
    <xf numFmtId="6" fontId="4" fillId="0" borderId="1" xfId="0" applyNumberFormat="1" applyFont="1" applyBorder="1"/>
    <xf numFmtId="3" fontId="4" fillId="0" borderId="1" xfId="0" applyNumberFormat="1" applyFont="1" applyBorder="1"/>
    <xf numFmtId="0" fontId="25" fillId="0" borderId="1" xfId="0" applyFont="1" applyBorder="1"/>
    <xf numFmtId="6" fontId="25" fillId="0" borderId="1" xfId="0" applyNumberFormat="1" applyFont="1" applyBorder="1"/>
    <xf numFmtId="3" fontId="1" fillId="24" borderId="1" xfId="0" applyNumberFormat="1" applyFont="1" applyFill="1" applyBorder="1" applyAlignment="1">
      <alignment horizontal="center" vertical="center"/>
    </xf>
    <xf numFmtId="0" fontId="1" fillId="40" borderId="0" xfId="0" applyFont="1" applyFill="1" applyAlignment="1">
      <alignment horizontal="center" vertical="center"/>
    </xf>
    <xf numFmtId="3" fontId="1" fillId="40" borderId="0" xfId="0" applyNumberFormat="1" applyFont="1" applyFill="1" applyAlignment="1">
      <alignment horizontal="center" vertical="center"/>
    </xf>
    <xf numFmtId="0" fontId="1" fillId="23" borderId="0" xfId="0" applyFont="1" applyFill="1" applyAlignment="1">
      <alignment horizontal="center" vertical="center"/>
    </xf>
    <xf numFmtId="3" fontId="1" fillId="23" borderId="0" xfId="0" applyNumberFormat="1" applyFont="1" applyFill="1" applyAlignment="1">
      <alignment horizontal="center" vertical="center"/>
    </xf>
    <xf numFmtId="2" fontId="1" fillId="2" borderId="1" xfId="0" applyNumberFormat="1" applyFont="1" applyFill="1" applyBorder="1"/>
    <xf numFmtId="164" fontId="0" fillId="0" borderId="0" xfId="0" applyNumberFormat="1" applyAlignment="1">
      <alignment horizontal="center" vertical="center"/>
    </xf>
    <xf numFmtId="10" fontId="51" fillId="6" borderId="1" xfId="0" applyNumberFormat="1" applyFont="1" applyFill="1" applyBorder="1" applyAlignment="1">
      <alignment horizontal="center" vertical="center"/>
    </xf>
    <xf numFmtId="0" fontId="54" fillId="6" borderId="1" xfId="0" applyFont="1" applyFill="1" applyBorder="1" applyAlignment="1">
      <alignment horizontal="center"/>
    </xf>
    <xf numFmtId="0" fontId="51" fillId="6" borderId="1" xfId="0" applyFont="1" applyFill="1" applyBorder="1" applyAlignment="1">
      <alignment horizontal="center"/>
    </xf>
    <xf numFmtId="0" fontId="26" fillId="10" borderId="1" xfId="0" applyFont="1" applyFill="1" applyBorder="1" applyAlignment="1">
      <alignment horizontal="center"/>
    </xf>
    <xf numFmtId="0" fontId="26" fillId="10" borderId="1" xfId="0" applyFont="1" applyFill="1" applyBorder="1" applyAlignment="1">
      <alignment horizontal="center" vertical="center"/>
    </xf>
    <xf numFmtId="10" fontId="1" fillId="10" borderId="1" xfId="0" applyNumberFormat="1" applyFont="1" applyFill="1" applyBorder="1" applyAlignment="1">
      <alignment horizontal="center" vertical="center"/>
    </xf>
    <xf numFmtId="0" fontId="0" fillId="10" borderId="1" xfId="0" applyFill="1" applyBorder="1" applyAlignment="1">
      <alignment horizontal="center"/>
    </xf>
    <xf numFmtId="10" fontId="0" fillId="0" borderId="1" xfId="0" applyNumberFormat="1" applyBorder="1" applyAlignment="1">
      <alignment horizontal="center" vertical="center"/>
    </xf>
    <xf numFmtId="49" fontId="8" fillId="2" borderId="1" xfId="0" applyNumberFormat="1" applyFont="1" applyFill="1" applyBorder="1" applyAlignment="1">
      <alignment horizontal="right" vertical="center" wrapText="1" readingOrder="1"/>
    </xf>
    <xf numFmtId="0" fontId="1" fillId="2" borderId="2" xfId="0" applyFont="1" applyFill="1" applyBorder="1"/>
    <xf numFmtId="0" fontId="1" fillId="2" borderId="2" xfId="0" applyFont="1" applyFill="1" applyBorder="1" applyAlignment="1">
      <alignment horizontal="center" vertical="center"/>
    </xf>
    <xf numFmtId="0" fontId="1" fillId="24" borderId="2" xfId="0" applyFont="1" applyFill="1" applyBorder="1" applyAlignment="1">
      <alignment horizontal="center" vertical="center" wrapText="1"/>
    </xf>
    <xf numFmtId="0" fontId="1" fillId="24" borderId="2" xfId="0" applyFont="1" applyFill="1" applyBorder="1" applyAlignment="1">
      <alignment horizontal="center" vertical="center"/>
    </xf>
    <xf numFmtId="10" fontId="1" fillId="24" borderId="2" xfId="0" applyNumberFormat="1" applyFont="1" applyFill="1" applyBorder="1" applyAlignment="1">
      <alignment horizontal="center" vertical="center"/>
    </xf>
    <xf numFmtId="0" fontId="116" fillId="24" borderId="2" xfId="0" applyFont="1" applyFill="1" applyBorder="1" applyAlignment="1">
      <alignment horizontal="center" vertical="center" wrapText="1"/>
    </xf>
    <xf numFmtId="0" fontId="1" fillId="24" borderId="8" xfId="0" applyFont="1" applyFill="1" applyBorder="1" applyAlignment="1">
      <alignment horizontal="center" vertical="center" wrapText="1"/>
    </xf>
    <xf numFmtId="10" fontId="1" fillId="24" borderId="8" xfId="0" applyNumberFormat="1" applyFont="1" applyFill="1" applyBorder="1" applyAlignment="1">
      <alignment horizontal="center" vertical="center"/>
    </xf>
    <xf numFmtId="0" fontId="116" fillId="24" borderId="8" xfId="0" applyFont="1" applyFill="1" applyBorder="1" applyAlignment="1">
      <alignment horizontal="center" vertical="center" wrapText="1"/>
    </xf>
    <xf numFmtId="0" fontId="0" fillId="24" borderId="8" xfId="0" applyFill="1" applyBorder="1" applyAlignment="1">
      <alignment horizontal="center" vertical="center"/>
    </xf>
    <xf numFmtId="0" fontId="1" fillId="24" borderId="8" xfId="0" applyFont="1" applyFill="1" applyBorder="1" applyAlignment="1">
      <alignment horizontal="center" vertical="center"/>
    </xf>
    <xf numFmtId="0" fontId="26" fillId="31" borderId="1" xfId="0" applyFont="1" applyFill="1" applyBorder="1" applyAlignment="1">
      <alignment horizontal="center" vertical="center"/>
    </xf>
    <xf numFmtId="0" fontId="6" fillId="2" borderId="2" xfId="0" applyFont="1" applyFill="1" applyBorder="1" applyAlignment="1">
      <alignment horizontal="center" vertical="center"/>
    </xf>
    <xf numFmtId="2" fontId="139" fillId="2" borderId="2" xfId="0" applyNumberFormat="1" applyFont="1" applyFill="1" applyBorder="1" applyAlignment="1">
      <alignment horizontal="center" vertical="center"/>
    </xf>
    <xf numFmtId="0" fontId="138" fillId="11" borderId="2" xfId="0" applyFont="1" applyFill="1" applyBorder="1" applyAlignment="1">
      <alignment horizontal="center" vertical="center"/>
    </xf>
    <xf numFmtId="2" fontId="138" fillId="2" borderId="2" xfId="0" applyNumberFormat="1" applyFont="1" applyFill="1" applyBorder="1" applyAlignment="1">
      <alignment horizontal="center" vertical="center"/>
    </xf>
    <xf numFmtId="0" fontId="140" fillId="2" borderId="14" xfId="0" applyFont="1" applyFill="1" applyBorder="1" applyAlignment="1">
      <alignment horizontal="center" vertical="center"/>
    </xf>
    <xf numFmtId="0" fontId="84" fillId="0" borderId="1" xfId="0" applyFont="1" applyBorder="1" applyAlignment="1">
      <alignment horizontal="center"/>
    </xf>
    <xf numFmtId="10" fontId="26" fillId="0" borderId="1" xfId="0" applyNumberFormat="1" applyFont="1" applyBorder="1" applyAlignment="1">
      <alignment horizontal="center" vertical="center"/>
    </xf>
    <xf numFmtId="0" fontId="26" fillId="0" borderId="1" xfId="0" applyFont="1" applyBorder="1" applyAlignment="1">
      <alignment horizontal="center"/>
    </xf>
    <xf numFmtId="0" fontId="0" fillId="0" borderId="6" xfId="0" applyBorder="1" applyAlignment="1">
      <alignment horizontal="center" vertical="center"/>
    </xf>
    <xf numFmtId="0" fontId="29" fillId="10" borderId="1" xfId="0" applyFont="1" applyFill="1" applyBorder="1" applyAlignment="1">
      <alignment horizontal="center" vertical="center"/>
    </xf>
    <xf numFmtId="0" fontId="4" fillId="25" borderId="1" xfId="0" applyFont="1" applyFill="1" applyBorder="1" applyAlignment="1">
      <alignment horizontal="center" vertical="center"/>
    </xf>
    <xf numFmtId="0" fontId="29" fillId="25" borderId="1" xfId="0" applyFont="1" applyFill="1" applyBorder="1" applyAlignment="1">
      <alignment horizontal="center" vertical="center"/>
    </xf>
    <xf numFmtId="0" fontId="8" fillId="20" borderId="1" xfId="0" applyFont="1" applyFill="1" applyBorder="1" applyAlignment="1">
      <alignment horizontal="center" vertical="center"/>
    </xf>
    <xf numFmtId="0" fontId="9" fillId="20" borderId="1" xfId="0" applyFont="1" applyFill="1" applyBorder="1" applyAlignment="1">
      <alignment horizontal="center" vertical="center"/>
    </xf>
    <xf numFmtId="0" fontId="8" fillId="37" borderId="1" xfId="0" applyFont="1" applyFill="1" applyBorder="1" applyAlignment="1">
      <alignment horizontal="center" vertical="center" wrapText="1"/>
    </xf>
    <xf numFmtId="49" fontId="8" fillId="37" borderId="1" xfId="0" applyNumberFormat="1" applyFont="1" applyFill="1" applyBorder="1" applyAlignment="1">
      <alignment horizontal="center" vertical="center" wrapText="1"/>
    </xf>
    <xf numFmtId="1" fontId="8" fillId="37" borderId="14" xfId="0" applyNumberFormat="1" applyFont="1" applyFill="1" applyBorder="1" applyAlignment="1">
      <alignment horizontal="center" vertical="center" wrapText="1"/>
    </xf>
    <xf numFmtId="1" fontId="8" fillId="37" borderId="6" xfId="0" applyNumberFormat="1" applyFont="1" applyFill="1" applyBorder="1" applyAlignment="1">
      <alignment horizontal="center" vertical="center" wrapText="1"/>
    </xf>
    <xf numFmtId="49" fontId="33" fillId="37" borderId="1" xfId="0" applyNumberFormat="1" applyFont="1" applyFill="1" applyBorder="1" applyAlignment="1">
      <alignment horizontal="left" vertical="top" wrapText="1" readingOrder="1"/>
    </xf>
    <xf numFmtId="0" fontId="8" fillId="37" borderId="1" xfId="0" applyFont="1" applyFill="1" applyBorder="1" applyAlignment="1">
      <alignment horizontal="left" vertical="top" wrapText="1"/>
    </xf>
    <xf numFmtId="49" fontId="72" fillId="37" borderId="1" xfId="0" applyNumberFormat="1" applyFont="1" applyFill="1" applyBorder="1" applyAlignment="1">
      <alignment horizontal="center" vertical="center" wrapText="1"/>
    </xf>
    <xf numFmtId="0" fontId="73" fillId="37" borderId="1" xfId="0" applyFont="1" applyFill="1" applyBorder="1" applyAlignment="1">
      <alignment horizontal="center" vertical="center" wrapText="1"/>
    </xf>
    <xf numFmtId="2" fontId="73" fillId="37" borderId="1" xfId="0" applyNumberFormat="1" applyFont="1" applyFill="1" applyBorder="1" applyAlignment="1">
      <alignment horizontal="center" vertical="center" wrapText="1"/>
    </xf>
    <xf numFmtId="1" fontId="73" fillId="37" borderId="14" xfId="0" applyNumberFormat="1" applyFont="1" applyFill="1" applyBorder="1" applyAlignment="1">
      <alignment horizontal="center" vertical="center" wrapText="1"/>
    </xf>
    <xf numFmtId="1" fontId="73" fillId="37" borderId="6" xfId="0" applyNumberFormat="1" applyFont="1" applyFill="1" applyBorder="1" applyAlignment="1">
      <alignment horizontal="center" vertical="center" wrapText="1"/>
    </xf>
    <xf numFmtId="0" fontId="72" fillId="37" borderId="1" xfId="0" applyFont="1" applyFill="1" applyBorder="1" applyAlignment="1">
      <alignment horizontal="left" vertical="top" wrapText="1"/>
    </xf>
    <xf numFmtId="0" fontId="73" fillId="37" borderId="1" xfId="0" applyFont="1" applyFill="1" applyBorder="1" applyAlignment="1">
      <alignment horizontal="left" vertical="top" wrapText="1"/>
    </xf>
    <xf numFmtId="49" fontId="8" fillId="31" borderId="1" xfId="0" applyNumberFormat="1" applyFont="1" applyFill="1" applyBorder="1" applyAlignment="1">
      <alignment horizontal="center" vertical="center" wrapText="1"/>
    </xf>
    <xf numFmtId="0" fontId="8" fillId="31" borderId="1" xfId="0" applyFont="1" applyFill="1" applyBorder="1" applyAlignment="1">
      <alignment horizontal="center" vertical="center" wrapText="1"/>
    </xf>
    <xf numFmtId="0" fontId="9" fillId="31" borderId="1" xfId="0" applyFont="1" applyFill="1" applyBorder="1" applyAlignment="1">
      <alignment horizontal="center" vertical="center" wrapText="1"/>
    </xf>
    <xf numFmtId="2" fontId="9" fillId="31" borderId="1" xfId="0" applyNumberFormat="1" applyFont="1" applyFill="1" applyBorder="1" applyAlignment="1">
      <alignment horizontal="center" vertical="center" wrapText="1"/>
    </xf>
    <xf numFmtId="1" fontId="9" fillId="31" borderId="14" xfId="0" applyNumberFormat="1" applyFont="1" applyFill="1" applyBorder="1" applyAlignment="1">
      <alignment horizontal="center" vertical="center" wrapText="1"/>
    </xf>
    <xf numFmtId="1" fontId="9" fillId="31" borderId="6" xfId="0" applyNumberFormat="1" applyFont="1" applyFill="1" applyBorder="1" applyAlignment="1">
      <alignment horizontal="center" vertical="center" wrapText="1"/>
    </xf>
    <xf numFmtId="49" fontId="9" fillId="31" borderId="1" xfId="0" applyNumberFormat="1" applyFont="1" applyFill="1" applyBorder="1" applyAlignment="1">
      <alignment horizontal="left" vertical="top" wrapText="1" readingOrder="1"/>
    </xf>
    <xf numFmtId="2" fontId="8" fillId="31" borderId="1" xfId="0" applyNumberFormat="1" applyFont="1" applyFill="1" applyBorder="1" applyAlignment="1">
      <alignment horizontal="center" vertical="center" wrapText="1"/>
    </xf>
    <xf numFmtId="1" fontId="8" fillId="31" borderId="14" xfId="0" applyNumberFormat="1" applyFont="1" applyFill="1" applyBorder="1" applyAlignment="1">
      <alignment horizontal="center" vertical="center" wrapText="1"/>
    </xf>
    <xf numFmtId="1" fontId="8" fillId="31" borderId="6" xfId="0" applyNumberFormat="1" applyFont="1" applyFill="1" applyBorder="1" applyAlignment="1">
      <alignment horizontal="center" vertical="center" wrapText="1"/>
    </xf>
    <xf numFmtId="0" fontId="9" fillId="31" borderId="1" xfId="0" applyFont="1" applyFill="1" applyBorder="1" applyAlignment="1">
      <alignment horizontal="left" vertical="top" wrapText="1"/>
    </xf>
    <xf numFmtId="0" fontId="0" fillId="20" borderId="0" xfId="0" applyFill="1" applyAlignment="1">
      <alignment horizontal="center" vertical="center"/>
    </xf>
    <xf numFmtId="0" fontId="0" fillId="10" borderId="0" xfId="0" applyFill="1" applyAlignment="1">
      <alignment horizontal="center" vertical="center"/>
    </xf>
    <xf numFmtId="0" fontId="96" fillId="11" borderId="1" xfId="0" applyFont="1" applyFill="1" applyBorder="1" applyAlignment="1">
      <alignment horizontal="left" vertical="top" wrapText="1"/>
    </xf>
    <xf numFmtId="0" fontId="8" fillId="6" borderId="1" xfId="0" applyFont="1" applyFill="1" applyBorder="1" applyAlignment="1">
      <alignment horizontal="left" vertical="top"/>
    </xf>
    <xf numFmtId="0" fontId="9" fillId="6" borderId="1" xfId="0" applyFont="1" applyFill="1" applyBorder="1" applyAlignment="1">
      <alignment horizontal="left" vertical="top"/>
    </xf>
    <xf numFmtId="0" fontId="96" fillId="2" borderId="0" xfId="0" applyFont="1" applyFill="1" applyAlignment="1">
      <alignment horizontal="left" vertical="top" wrapText="1"/>
    </xf>
    <xf numFmtId="0" fontId="9" fillId="2" borderId="1" xfId="0" applyFont="1" applyFill="1" applyBorder="1" applyAlignment="1">
      <alignment horizontal="left" vertical="top"/>
    </xf>
    <xf numFmtId="0" fontId="9" fillId="0" borderId="1" xfId="0" applyFont="1" applyBorder="1" applyAlignment="1">
      <alignment horizontal="left" vertical="top"/>
    </xf>
    <xf numFmtId="0" fontId="9" fillId="11" borderId="1" xfId="0" applyFont="1" applyFill="1" applyBorder="1" applyAlignment="1">
      <alignment horizontal="left" vertical="top"/>
    </xf>
    <xf numFmtId="0" fontId="9" fillId="37" borderId="1" xfId="0" applyFont="1" applyFill="1" applyBorder="1" applyAlignment="1">
      <alignment horizontal="left" vertical="top" wrapText="1"/>
    </xf>
    <xf numFmtId="0" fontId="9" fillId="37" borderId="1" xfId="0" applyFont="1" applyFill="1" applyBorder="1" applyAlignment="1">
      <alignment horizontal="left" vertical="top"/>
    </xf>
    <xf numFmtId="0" fontId="96" fillId="37" borderId="1" xfId="0" applyFont="1" applyFill="1" applyBorder="1" applyAlignment="1">
      <alignment horizontal="left" vertical="top" wrapText="1"/>
    </xf>
    <xf numFmtId="0" fontId="96" fillId="31" borderId="1" xfId="0" applyFont="1" applyFill="1" applyBorder="1" applyAlignment="1">
      <alignment horizontal="left" vertical="top" wrapText="1"/>
    </xf>
    <xf numFmtId="0" fontId="8" fillId="2" borderId="1" xfId="0" applyFont="1" applyFill="1" applyBorder="1" applyAlignment="1">
      <alignment horizontal="left" vertical="top"/>
    </xf>
    <xf numFmtId="0" fontId="97" fillId="31" borderId="1" xfId="0" applyFont="1" applyFill="1" applyBorder="1" applyAlignment="1">
      <alignment horizontal="left" vertical="top" wrapText="1"/>
    </xf>
    <xf numFmtId="0" fontId="96" fillId="6" borderId="1" xfId="0" applyFont="1" applyFill="1" applyBorder="1" applyAlignment="1">
      <alignment horizontal="left" vertical="top" wrapText="1"/>
    </xf>
    <xf numFmtId="10" fontId="8" fillId="37" borderId="1" xfId="0" applyNumberFormat="1" applyFont="1" applyFill="1" applyBorder="1" applyAlignment="1">
      <alignment horizontal="center" vertical="center" wrapText="1"/>
    </xf>
    <xf numFmtId="10" fontId="72" fillId="37" borderId="1" xfId="0" applyNumberFormat="1" applyFont="1" applyFill="1" applyBorder="1" applyAlignment="1">
      <alignment horizontal="center" vertical="center" wrapText="1"/>
    </xf>
    <xf numFmtId="10" fontId="8" fillId="31" borderId="1" xfId="0" applyNumberFormat="1" applyFont="1" applyFill="1" applyBorder="1" applyAlignment="1">
      <alignment horizontal="center" vertical="center" wrapText="1"/>
    </xf>
    <xf numFmtId="1" fontId="8" fillId="37" borderId="1" xfId="0" applyNumberFormat="1" applyFont="1" applyFill="1" applyBorder="1" applyAlignment="1">
      <alignment horizontal="center" vertical="center" wrapText="1"/>
    </xf>
    <xf numFmtId="1" fontId="72" fillId="37" borderId="1" xfId="0" applyNumberFormat="1" applyFont="1" applyFill="1" applyBorder="1" applyAlignment="1">
      <alignment horizontal="center" vertical="center" wrapText="1"/>
    </xf>
    <xf numFmtId="1" fontId="8" fillId="31" borderId="1" xfId="0" applyNumberFormat="1" applyFont="1" applyFill="1" applyBorder="1" applyAlignment="1">
      <alignment horizontal="center" vertical="center" wrapText="1"/>
    </xf>
    <xf numFmtId="0" fontId="91" fillId="0" borderId="0" xfId="0" applyFont="1" applyAlignment="1">
      <alignment horizontal="center" vertical="center"/>
    </xf>
    <xf numFmtId="0" fontId="51" fillId="2" borderId="1" xfId="0" applyFont="1" applyFill="1" applyBorder="1" applyAlignment="1">
      <alignment horizontal="center" vertical="center" wrapText="1"/>
    </xf>
    <xf numFmtId="10" fontId="51" fillId="2" borderId="1" xfId="0" applyNumberFormat="1" applyFont="1" applyFill="1" applyBorder="1" applyAlignment="1">
      <alignment horizontal="center" vertical="center" wrapText="1"/>
    </xf>
    <xf numFmtId="0" fontId="133" fillId="2" borderId="1" xfId="0" applyFont="1" applyFill="1" applyBorder="1" applyAlignment="1">
      <alignment horizontal="center" vertical="center" wrapText="1"/>
    </xf>
    <xf numFmtId="0" fontId="51" fillId="41" borderId="1" xfId="0" applyFont="1" applyFill="1" applyBorder="1" applyAlignment="1">
      <alignment horizontal="center" vertical="center" wrapText="1"/>
    </xf>
    <xf numFmtId="10" fontId="51" fillId="41" borderId="1" xfId="0" applyNumberFormat="1" applyFont="1" applyFill="1" applyBorder="1" applyAlignment="1">
      <alignment horizontal="center" vertical="center" wrapText="1"/>
    </xf>
    <xf numFmtId="0" fontId="133" fillId="41" borderId="1" xfId="0" applyFont="1" applyFill="1" applyBorder="1" applyAlignment="1">
      <alignment horizontal="center" vertical="center" wrapText="1"/>
    </xf>
    <xf numFmtId="0" fontId="0" fillId="41" borderId="0" xfId="0" applyFill="1"/>
    <xf numFmtId="0" fontId="91" fillId="41" borderId="0" xfId="0" applyFont="1" applyFill="1" applyAlignment="1">
      <alignment horizontal="center" vertical="center"/>
    </xf>
    <xf numFmtId="0" fontId="1" fillId="2" borderId="0" xfId="0" applyFont="1" applyFill="1" applyAlignment="1">
      <alignment horizontal="center" wrapText="1"/>
    </xf>
    <xf numFmtId="0" fontId="0" fillId="41" borderId="0" xfId="0" applyFill="1" applyAlignment="1">
      <alignment wrapText="1"/>
    </xf>
    <xf numFmtId="0" fontId="1" fillId="41" borderId="0" xfId="0" applyFont="1" applyFill="1" applyAlignment="1">
      <alignment horizontal="center" wrapText="1"/>
    </xf>
    <xf numFmtId="0" fontId="26" fillId="2" borderId="1" xfId="0" applyFont="1" applyFill="1" applyBorder="1" applyAlignment="1">
      <alignment horizontal="center" vertical="center" wrapText="1"/>
    </xf>
    <xf numFmtId="0" fontId="26" fillId="2" borderId="1" xfId="0" applyFont="1" applyFill="1" applyBorder="1" applyAlignment="1">
      <alignment horizontal="center"/>
    </xf>
    <xf numFmtId="0" fontId="138" fillId="8" borderId="1" xfId="0" applyFont="1" applyFill="1" applyBorder="1" applyAlignment="1">
      <alignment horizontal="center" vertical="center"/>
    </xf>
    <xf numFmtId="2" fontId="51" fillId="6" borderId="1" xfId="0" applyNumberFormat="1" applyFont="1" applyFill="1" applyBorder="1" applyAlignment="1">
      <alignment horizontal="center" vertical="center" wrapText="1"/>
    </xf>
    <xf numFmtId="10" fontId="1" fillId="2" borderId="0" xfId="0" applyNumberFormat="1" applyFont="1" applyFill="1" applyAlignment="1">
      <alignment horizontal="center" wrapText="1"/>
    </xf>
    <xf numFmtId="10" fontId="1" fillId="6" borderId="1" xfId="0" applyNumberFormat="1" applyFont="1" applyFill="1" applyBorder="1" applyAlignment="1">
      <alignment horizontal="center" vertical="center"/>
    </xf>
    <xf numFmtId="0" fontId="1" fillId="6" borderId="1" xfId="0" applyFont="1" applyFill="1" applyBorder="1" applyAlignment="1">
      <alignment horizontal="center" wrapText="1"/>
    </xf>
    <xf numFmtId="0" fontId="41" fillId="0" borderId="1" xfId="0" applyFont="1" applyBorder="1"/>
    <xf numFmtId="0" fontId="41" fillId="0" borderId="6" xfId="0" applyFont="1" applyBorder="1"/>
    <xf numFmtId="0" fontId="41" fillId="0" borderId="8" xfId="0" applyFont="1" applyBorder="1"/>
    <xf numFmtId="0" fontId="41" fillId="0" borderId="12" xfId="0" applyFont="1" applyBorder="1"/>
    <xf numFmtId="0" fontId="30" fillId="0" borderId="12" xfId="0" applyFont="1" applyBorder="1"/>
    <xf numFmtId="0" fontId="41" fillId="2" borderId="8" xfId="0" applyFont="1" applyFill="1" applyBorder="1"/>
    <xf numFmtId="0" fontId="30" fillId="2" borderId="12" xfId="0" applyFont="1" applyFill="1" applyBorder="1"/>
    <xf numFmtId="0" fontId="141" fillId="2" borderId="8" xfId="0" applyFont="1" applyFill="1" applyBorder="1"/>
    <xf numFmtId="0" fontId="4" fillId="6" borderId="1" xfId="0" applyFont="1" applyFill="1" applyBorder="1" applyAlignment="1">
      <alignment horizontal="center" vertical="center"/>
    </xf>
    <xf numFmtId="0" fontId="4" fillId="20" borderId="1" xfId="0" applyFont="1" applyFill="1" applyBorder="1" applyAlignment="1">
      <alignment horizontal="center" vertical="center"/>
    </xf>
    <xf numFmtId="0" fontId="30" fillId="0" borderId="8" xfId="0" applyFont="1" applyBorder="1"/>
    <xf numFmtId="0" fontId="41" fillId="0" borderId="2" xfId="0" applyFont="1" applyBorder="1"/>
    <xf numFmtId="0" fontId="30" fillId="2" borderId="2" xfId="0" applyFont="1" applyFill="1" applyBorder="1"/>
    <xf numFmtId="0" fontId="4" fillId="6" borderId="1" xfId="0" applyFont="1" applyFill="1" applyBorder="1" applyAlignment="1">
      <alignment horizontal="center" vertical="center" wrapText="1"/>
    </xf>
    <xf numFmtId="10" fontId="4" fillId="6" borderId="1" xfId="0" applyNumberFormat="1" applyFont="1" applyFill="1" applyBorder="1" applyAlignment="1">
      <alignment horizontal="center" vertical="center" wrapText="1"/>
    </xf>
    <xf numFmtId="0" fontId="117" fillId="6" borderId="1" xfId="0" applyFont="1" applyFill="1" applyBorder="1" applyAlignment="1">
      <alignment horizontal="center" vertical="center" wrapText="1"/>
    </xf>
    <xf numFmtId="2" fontId="4" fillId="6" borderId="1" xfId="0" applyNumberFormat="1" applyFont="1" applyFill="1" applyBorder="1" applyAlignment="1">
      <alignment horizontal="center" vertical="center" wrapText="1"/>
    </xf>
    <xf numFmtId="0" fontId="142" fillId="6" borderId="1" xfId="0" applyFont="1" applyFill="1" applyBorder="1" applyAlignment="1">
      <alignment horizontal="center" vertical="center" wrapText="1"/>
    </xf>
    <xf numFmtId="10" fontId="1" fillId="0" borderId="1" xfId="0" applyNumberFormat="1" applyFont="1" applyBorder="1" applyAlignment="1">
      <alignment horizontal="center" vertical="center"/>
    </xf>
    <xf numFmtId="0" fontId="26" fillId="41" borderId="1" xfId="0" applyFont="1" applyFill="1" applyBorder="1" applyAlignment="1">
      <alignment horizontal="center" vertical="center" wrapText="1"/>
    </xf>
    <xf numFmtId="0" fontId="26" fillId="41" borderId="1" xfId="0" applyFont="1" applyFill="1" applyBorder="1" applyAlignment="1">
      <alignment horizontal="center"/>
    </xf>
    <xf numFmtId="10" fontId="1" fillId="41" borderId="1" xfId="0" applyNumberFormat="1" applyFont="1" applyFill="1" applyBorder="1" applyAlignment="1">
      <alignment horizontal="center" vertical="center"/>
    </xf>
    <xf numFmtId="0" fontId="1" fillId="41" borderId="1" xfId="0" applyFont="1" applyFill="1" applyBorder="1" applyAlignment="1">
      <alignment horizontal="center"/>
    </xf>
    <xf numFmtId="0" fontId="1" fillId="41" borderId="1" xfId="0" applyFont="1" applyFill="1" applyBorder="1" applyAlignment="1">
      <alignment horizontal="center" vertical="center"/>
    </xf>
    <xf numFmtId="0" fontId="1" fillId="2" borderId="1" xfId="0" applyFont="1" applyFill="1" applyBorder="1" applyAlignment="1">
      <alignment vertical="top"/>
    </xf>
    <xf numFmtId="49" fontId="1" fillId="2" borderId="1" xfId="0" applyNumberFormat="1" applyFont="1" applyFill="1" applyBorder="1" applyAlignment="1">
      <alignment horizontal="center" vertical="center" wrapText="1"/>
    </xf>
    <xf numFmtId="49" fontId="1" fillId="11" borderId="1" xfId="0" applyNumberFormat="1" applyFont="1" applyFill="1" applyBorder="1" applyAlignment="1">
      <alignment horizontal="center" vertical="center"/>
    </xf>
    <xf numFmtId="0" fontId="1" fillId="6" borderId="3" xfId="0" applyFont="1" applyFill="1" applyBorder="1" applyAlignment="1">
      <alignment horizontal="center" vertical="center"/>
    </xf>
    <xf numFmtId="2" fontId="1" fillId="20" borderId="26" xfId="0" applyNumberFormat="1" applyFont="1" applyFill="1" applyBorder="1" applyAlignment="1">
      <alignment horizontal="center" vertical="center" wrapText="1"/>
    </xf>
    <xf numFmtId="2" fontId="1" fillId="10" borderId="26" xfId="0" applyNumberFormat="1" applyFont="1" applyFill="1" applyBorder="1" applyAlignment="1">
      <alignment horizontal="center" vertical="center" wrapText="1"/>
    </xf>
    <xf numFmtId="49" fontId="1" fillId="2" borderId="1" xfId="0" applyNumberFormat="1" applyFont="1" applyFill="1" applyBorder="1" applyAlignment="1">
      <alignment wrapText="1"/>
    </xf>
    <xf numFmtId="1" fontId="1" fillId="10" borderId="1" xfId="0" applyNumberFormat="1" applyFont="1" applyFill="1" applyBorder="1" applyAlignment="1">
      <alignment horizontal="center" vertical="center"/>
    </xf>
    <xf numFmtId="49" fontId="4" fillId="0" borderId="1" xfId="0" applyNumberFormat="1" applyFont="1" applyBorder="1" applyAlignment="1">
      <alignment horizontal="center" vertical="center"/>
    </xf>
    <xf numFmtId="0" fontId="4" fillId="0" borderId="1" xfId="0" applyFont="1" applyBorder="1" applyAlignment="1">
      <alignment horizontal="left" vertical="top" wrapText="1"/>
    </xf>
    <xf numFmtId="0" fontId="4" fillId="0" borderId="1" xfId="0" applyFont="1" applyBorder="1" applyAlignment="1">
      <alignment horizontal="left" vertical="top"/>
    </xf>
    <xf numFmtId="1" fontId="1" fillId="2" borderId="1" xfId="0" applyNumberFormat="1" applyFont="1" applyFill="1" applyBorder="1" applyAlignment="1">
      <alignment horizontal="center" vertical="center"/>
    </xf>
    <xf numFmtId="2" fontId="1" fillId="20" borderId="27" xfId="0" applyNumberFormat="1" applyFont="1" applyFill="1" applyBorder="1" applyAlignment="1">
      <alignment horizontal="center" vertical="center" wrapText="1"/>
    </xf>
    <xf numFmtId="2" fontId="1" fillId="10" borderId="27" xfId="0" applyNumberFormat="1" applyFont="1" applyFill="1" applyBorder="1" applyAlignment="1">
      <alignment horizontal="center" vertical="center" wrapText="1"/>
    </xf>
    <xf numFmtId="0" fontId="0" fillId="6" borderId="1" xfId="0" applyFill="1" applyBorder="1" applyAlignment="1">
      <alignment wrapText="1"/>
    </xf>
    <xf numFmtId="1" fontId="1" fillId="20" borderId="1" xfId="0" applyNumberFormat="1" applyFont="1" applyFill="1" applyBorder="1" applyAlignment="1">
      <alignment horizontal="center" vertical="center"/>
    </xf>
    <xf numFmtId="10" fontId="1" fillId="20" borderId="1" xfId="0" applyNumberFormat="1" applyFont="1" applyFill="1" applyBorder="1" applyAlignment="1">
      <alignment horizontal="center" vertical="center"/>
    </xf>
    <xf numFmtId="0" fontId="1" fillId="2" borderId="7" xfId="0" applyFont="1" applyFill="1" applyBorder="1" applyAlignment="1">
      <alignment horizontal="center" vertical="center"/>
    </xf>
    <xf numFmtId="2" fontId="1" fillId="20" borderId="28" xfId="0" applyNumberFormat="1" applyFont="1" applyFill="1" applyBorder="1" applyAlignment="1">
      <alignment horizontal="center" vertical="center"/>
    </xf>
    <xf numFmtId="2" fontId="1" fillId="10" borderId="28" xfId="0" applyNumberFormat="1" applyFont="1" applyFill="1" applyBorder="1" applyAlignment="1">
      <alignment horizontal="center" vertical="center"/>
    </xf>
    <xf numFmtId="2" fontId="1" fillId="20" borderId="27" xfId="0" applyNumberFormat="1" applyFont="1" applyFill="1" applyBorder="1" applyAlignment="1">
      <alignment horizontal="center" vertical="center"/>
    </xf>
    <xf numFmtId="2" fontId="1" fillId="10" borderId="27" xfId="0" applyNumberFormat="1" applyFont="1" applyFill="1" applyBorder="1" applyAlignment="1">
      <alignment horizontal="center" vertical="center"/>
    </xf>
    <xf numFmtId="1" fontId="1" fillId="6" borderId="1" xfId="0" applyNumberFormat="1" applyFont="1" applyFill="1" applyBorder="1" applyAlignment="1">
      <alignment horizontal="center" vertical="center"/>
    </xf>
    <xf numFmtId="0" fontId="1" fillId="23" borderId="1" xfId="0" applyFont="1" applyFill="1" applyBorder="1" applyAlignment="1">
      <alignment horizontal="center" vertical="center"/>
    </xf>
    <xf numFmtId="0" fontId="1" fillId="6" borderId="7" xfId="0" applyFont="1" applyFill="1" applyBorder="1" applyAlignment="1">
      <alignment horizontal="center" vertical="center"/>
    </xf>
    <xf numFmtId="2" fontId="1" fillId="20" borderId="33" xfId="0" applyNumberFormat="1" applyFont="1" applyFill="1" applyBorder="1" applyAlignment="1">
      <alignment horizontal="center" vertical="center"/>
    </xf>
    <xf numFmtId="2" fontId="1" fillId="10" borderId="34" xfId="0" applyNumberFormat="1" applyFont="1" applyFill="1" applyBorder="1" applyAlignment="1">
      <alignment horizontal="center" vertical="center"/>
    </xf>
    <xf numFmtId="10" fontId="1" fillId="11" borderId="1" xfId="0" applyNumberFormat="1" applyFont="1" applyFill="1" applyBorder="1" applyAlignment="1">
      <alignment horizontal="center" vertical="center"/>
    </xf>
    <xf numFmtId="1" fontId="1" fillId="11" borderId="1" xfId="0" applyNumberFormat="1" applyFont="1" applyFill="1" applyBorder="1" applyAlignment="1">
      <alignment horizontal="center" vertical="center"/>
    </xf>
    <xf numFmtId="0" fontId="1" fillId="20" borderId="0" xfId="0" applyFont="1" applyFill="1" applyAlignment="1">
      <alignment horizontal="center" vertical="center"/>
    </xf>
    <xf numFmtId="0" fontId="1" fillId="2" borderId="1" xfId="0" applyFont="1" applyFill="1" applyBorder="1" applyAlignment="1">
      <alignment horizontal="center" vertical="center" wrapText="1" readingOrder="1"/>
    </xf>
    <xf numFmtId="10" fontId="1" fillId="2" borderId="1" xfId="0" applyNumberFormat="1" applyFont="1" applyFill="1" applyBorder="1" applyAlignment="1">
      <alignment horizontal="center" vertical="center" wrapText="1"/>
    </xf>
    <xf numFmtId="1" fontId="1" fillId="2" borderId="1" xfId="0" applyNumberFormat="1" applyFont="1" applyFill="1" applyBorder="1" applyAlignment="1">
      <alignment horizontal="center" vertical="center" wrapText="1"/>
    </xf>
    <xf numFmtId="10" fontId="1" fillId="23" borderId="1" xfId="0" applyNumberFormat="1" applyFont="1" applyFill="1" applyBorder="1" applyAlignment="1">
      <alignment horizontal="center" vertical="center"/>
    </xf>
    <xf numFmtId="1" fontId="1" fillId="23" borderId="1" xfId="0" applyNumberFormat="1" applyFont="1" applyFill="1" applyBorder="1" applyAlignment="1">
      <alignment horizontal="center" vertical="center"/>
    </xf>
    <xf numFmtId="1" fontId="1" fillId="6" borderId="1" xfId="0" applyNumberFormat="1" applyFont="1" applyFill="1" applyBorder="1" applyAlignment="1">
      <alignment horizontal="center" vertical="center" wrapText="1"/>
    </xf>
    <xf numFmtId="10" fontId="1" fillId="2" borderId="7" xfId="0" applyNumberFormat="1" applyFont="1" applyFill="1" applyBorder="1" applyAlignment="1">
      <alignment horizontal="center" vertical="center"/>
    </xf>
    <xf numFmtId="1" fontId="1" fillId="2" borderId="7" xfId="0" applyNumberFormat="1" applyFont="1" applyFill="1" applyBorder="1" applyAlignment="1">
      <alignment horizontal="center" vertical="center"/>
    </xf>
    <xf numFmtId="1" fontId="1" fillId="4" borderId="1" xfId="0" applyNumberFormat="1" applyFont="1" applyFill="1" applyBorder="1" applyAlignment="1">
      <alignment horizontal="center" vertical="center"/>
    </xf>
    <xf numFmtId="10" fontId="1" fillId="4" borderId="1" xfId="0" applyNumberFormat="1" applyFont="1" applyFill="1" applyBorder="1" applyAlignment="1">
      <alignment horizontal="center" vertical="center"/>
    </xf>
    <xf numFmtId="10" fontId="1" fillId="6" borderId="7" xfId="0" applyNumberFormat="1" applyFont="1" applyFill="1" applyBorder="1" applyAlignment="1">
      <alignment horizontal="center" vertical="center"/>
    </xf>
    <xf numFmtId="1" fontId="1" fillId="6" borderId="7" xfId="0" applyNumberFormat="1" applyFont="1" applyFill="1" applyBorder="1" applyAlignment="1">
      <alignment horizontal="center" vertical="center"/>
    </xf>
    <xf numFmtId="10" fontId="1" fillId="25" borderId="1" xfId="0" applyNumberFormat="1" applyFont="1" applyFill="1" applyBorder="1" applyAlignment="1">
      <alignment horizontal="center" vertical="center"/>
    </xf>
    <xf numFmtId="1" fontId="1" fillId="25" borderId="1" xfId="0" applyNumberFormat="1" applyFont="1" applyFill="1" applyBorder="1" applyAlignment="1">
      <alignment horizontal="center" vertical="center"/>
    </xf>
    <xf numFmtId="0" fontId="0" fillId="25" borderId="0" xfId="0" applyFill="1"/>
    <xf numFmtId="49" fontId="0" fillId="11" borderId="1" xfId="0" applyNumberFormat="1" applyFill="1" applyBorder="1" applyAlignment="1">
      <alignment wrapText="1" readingOrder="1"/>
    </xf>
    <xf numFmtId="0" fontId="0" fillId="11" borderId="1" xfId="0" applyFill="1" applyBorder="1" applyAlignment="1">
      <alignment wrapText="1"/>
    </xf>
    <xf numFmtId="49" fontId="0" fillId="20" borderId="1" xfId="0" applyNumberFormat="1" applyFill="1" applyBorder="1" applyAlignment="1">
      <alignment wrapText="1" readingOrder="1"/>
    </xf>
    <xf numFmtId="0" fontId="1" fillId="10" borderId="1" xfId="0" applyFont="1" applyFill="1" applyBorder="1" applyAlignment="1">
      <alignment horizontal="left" vertical="top" wrapText="1"/>
    </xf>
    <xf numFmtId="49" fontId="1" fillId="2" borderId="1" xfId="0" applyNumberFormat="1" applyFont="1" applyFill="1" applyBorder="1" applyAlignment="1">
      <alignment horizontal="left" vertical="top" wrapText="1" readingOrder="1"/>
    </xf>
    <xf numFmtId="0" fontId="51" fillId="11" borderId="1" xfId="0" applyFont="1" applyFill="1" applyBorder="1" applyAlignment="1">
      <alignment wrapText="1"/>
    </xf>
    <xf numFmtId="0" fontId="1" fillId="20" borderId="1" xfId="0" applyFont="1" applyFill="1" applyBorder="1" applyAlignment="1">
      <alignment horizontal="left" vertical="top" wrapText="1"/>
    </xf>
    <xf numFmtId="49" fontId="1" fillId="2" borderId="1" xfId="0" applyNumberFormat="1" applyFont="1" applyFill="1" applyBorder="1" applyAlignment="1">
      <alignment wrapText="1" readingOrder="1"/>
    </xf>
    <xf numFmtId="0" fontId="1" fillId="11" borderId="1" xfId="0" applyFont="1" applyFill="1" applyBorder="1" applyAlignment="1">
      <alignment wrapText="1"/>
    </xf>
    <xf numFmtId="0" fontId="0" fillId="6" borderId="1" xfId="0" applyFill="1" applyBorder="1" applyAlignment="1">
      <alignment horizontal="left" vertical="top" wrapText="1"/>
    </xf>
    <xf numFmtId="0" fontId="1" fillId="23" borderId="1" xfId="0" applyFont="1" applyFill="1" applyBorder="1" applyAlignment="1">
      <alignment horizontal="left" vertical="top" wrapText="1"/>
    </xf>
    <xf numFmtId="0" fontId="51" fillId="6" borderId="1" xfId="0" applyFont="1" applyFill="1" applyBorder="1" applyAlignment="1">
      <alignment horizontal="left" vertical="top" wrapText="1"/>
    </xf>
    <xf numFmtId="0" fontId="26" fillId="2" borderId="1" xfId="0" applyFont="1" applyFill="1" applyBorder="1" applyAlignment="1">
      <alignment horizontal="left" vertical="top" wrapText="1"/>
    </xf>
    <xf numFmtId="49" fontId="0" fillId="6" borderId="1" xfId="0" applyNumberFormat="1" applyFill="1" applyBorder="1" applyAlignment="1">
      <alignment wrapText="1" readingOrder="1"/>
    </xf>
    <xf numFmtId="0" fontId="144" fillId="4" borderId="1" xfId="0" applyFont="1" applyFill="1" applyBorder="1" applyAlignment="1">
      <alignment horizontal="left" vertical="top" wrapText="1"/>
    </xf>
    <xf numFmtId="49" fontId="144" fillId="4" borderId="1" xfId="0" applyNumberFormat="1" applyFont="1" applyFill="1" applyBorder="1" applyAlignment="1">
      <alignment horizontal="left" vertical="top" wrapText="1"/>
    </xf>
    <xf numFmtId="0" fontId="1" fillId="25" borderId="1" xfId="0" applyFont="1" applyFill="1" applyBorder="1" applyAlignment="1">
      <alignment horizontal="left" vertical="top" wrapText="1"/>
    </xf>
    <xf numFmtId="49" fontId="0" fillId="6" borderId="1" xfId="0" applyNumberFormat="1" applyFill="1" applyBorder="1" applyAlignment="1">
      <alignment horizontal="left" vertical="top" wrapText="1"/>
    </xf>
    <xf numFmtId="49" fontId="0" fillId="6" borderId="1" xfId="0" applyNumberFormat="1" applyFill="1" applyBorder="1" applyAlignment="1">
      <alignment horizontal="left" vertical="top" wrapText="1" readingOrder="1"/>
    </xf>
    <xf numFmtId="49" fontId="1" fillId="6" borderId="2" xfId="0" applyNumberFormat="1" applyFont="1" applyFill="1" applyBorder="1" applyAlignment="1">
      <alignment wrapText="1" readingOrder="1"/>
    </xf>
    <xf numFmtId="49" fontId="1" fillId="6" borderId="3" xfId="0" applyNumberFormat="1" applyFont="1" applyFill="1" applyBorder="1" applyAlignment="1">
      <alignment wrapText="1" readingOrder="1"/>
    </xf>
    <xf numFmtId="49" fontId="1" fillId="2" borderId="7" xfId="0" applyNumberFormat="1" applyFont="1" applyFill="1" applyBorder="1" applyAlignment="1">
      <alignment horizontal="left" vertical="top" wrapText="1" readingOrder="1"/>
    </xf>
    <xf numFmtId="49" fontId="1" fillId="10" borderId="1" xfId="0" applyNumberFormat="1" applyFont="1" applyFill="1" applyBorder="1" applyAlignment="1">
      <alignment horizontal="center" vertical="center" wrapText="1"/>
    </xf>
    <xf numFmtId="49" fontId="1" fillId="2" borderId="1" xfId="0" applyNumberFormat="1" applyFont="1" applyFill="1" applyBorder="1" applyAlignment="1">
      <alignment horizontal="center" vertical="center" wrapText="1" readingOrder="1"/>
    </xf>
    <xf numFmtId="49" fontId="1" fillId="6" borderId="1" xfId="0" applyNumberFormat="1" applyFont="1" applyFill="1" applyBorder="1" applyAlignment="1">
      <alignment horizontal="center" vertical="center" wrapText="1"/>
    </xf>
    <xf numFmtId="49" fontId="1" fillId="20" borderId="1" xfId="0" applyNumberFormat="1" applyFont="1" applyFill="1" applyBorder="1" applyAlignment="1">
      <alignment horizontal="center" vertical="center" wrapText="1"/>
    </xf>
    <xf numFmtId="49" fontId="1" fillId="23" borderId="1" xfId="0" applyNumberFormat="1" applyFont="1" applyFill="1" applyBorder="1" applyAlignment="1">
      <alignment horizontal="center" vertical="center" wrapText="1"/>
    </xf>
    <xf numFmtId="49" fontId="1" fillId="4" borderId="1" xfId="0" applyNumberFormat="1" applyFont="1" applyFill="1" applyBorder="1" applyAlignment="1">
      <alignment horizontal="center" vertical="center" wrapText="1"/>
    </xf>
    <xf numFmtId="49" fontId="1" fillId="25" borderId="1" xfId="0" applyNumberFormat="1" applyFont="1" applyFill="1" applyBorder="1" applyAlignment="1">
      <alignment horizontal="center" vertical="center" wrapText="1"/>
    </xf>
    <xf numFmtId="49" fontId="1" fillId="2" borderId="7" xfId="0" applyNumberFormat="1" applyFont="1" applyFill="1" applyBorder="1" applyAlignment="1">
      <alignment horizontal="center" vertical="center" wrapText="1"/>
    </xf>
    <xf numFmtId="49" fontId="1" fillId="11" borderId="1" xfId="0" applyNumberFormat="1" applyFont="1" applyFill="1" applyBorder="1" applyAlignment="1">
      <alignment horizontal="center" vertical="center" wrapText="1"/>
    </xf>
    <xf numFmtId="49" fontId="1" fillId="0" borderId="1" xfId="0" applyNumberFormat="1" applyFont="1" applyBorder="1" applyAlignment="1">
      <alignment horizontal="center" vertical="center" wrapText="1"/>
    </xf>
    <xf numFmtId="0" fontId="145" fillId="0" borderId="0" xfId="0" applyFont="1"/>
    <xf numFmtId="0" fontId="46" fillId="11" borderId="1" xfId="0" applyFont="1" applyFill="1" applyBorder="1" applyAlignment="1">
      <alignment horizontal="center" vertical="center"/>
    </xf>
    <xf numFmtId="1" fontId="1" fillId="8" borderId="1" xfId="0" applyNumberFormat="1" applyFont="1" applyFill="1" applyBorder="1" applyAlignment="1">
      <alignment horizontal="center" vertical="center" wrapText="1"/>
    </xf>
    <xf numFmtId="1" fontId="26" fillId="8" borderId="1" xfId="0" applyNumberFormat="1" applyFont="1" applyFill="1" applyBorder="1" applyAlignment="1">
      <alignment horizontal="center" vertical="center" wrapText="1"/>
    </xf>
    <xf numFmtId="0" fontId="23" fillId="0" borderId="1" xfId="0" applyFont="1" applyBorder="1" applyAlignment="1">
      <alignment horizontal="center"/>
    </xf>
    <xf numFmtId="0" fontId="92" fillId="0" borderId="1" xfId="0" applyFont="1" applyBorder="1" applyAlignment="1">
      <alignment horizontal="center" vertical="center"/>
    </xf>
    <xf numFmtId="1" fontId="92" fillId="8" borderId="1" xfId="0" applyNumberFormat="1" applyFont="1" applyFill="1" applyBorder="1" applyAlignment="1">
      <alignment horizontal="center"/>
    </xf>
    <xf numFmtId="1" fontId="0" fillId="8" borderId="1" xfId="0" applyNumberFormat="1" applyFill="1" applyBorder="1" applyAlignment="1">
      <alignment horizontal="center" vertical="center"/>
    </xf>
    <xf numFmtId="3" fontId="23" fillId="0" borderId="1" xfId="0" applyNumberFormat="1" applyFont="1" applyBorder="1" applyAlignment="1">
      <alignment horizontal="center"/>
    </xf>
    <xf numFmtId="0" fontId="0" fillId="41" borderId="1" xfId="0" applyFill="1" applyBorder="1" applyAlignment="1">
      <alignment horizontal="center" vertical="center"/>
    </xf>
    <xf numFmtId="0" fontId="146" fillId="41" borderId="2" xfId="0" applyFont="1" applyFill="1" applyBorder="1" applyAlignment="1">
      <alignment wrapText="1"/>
    </xf>
    <xf numFmtId="10" fontId="146" fillId="41" borderId="2" xfId="0" applyNumberFormat="1" applyFont="1" applyFill="1" applyBorder="1" applyAlignment="1">
      <alignment wrapText="1"/>
    </xf>
    <xf numFmtId="0" fontId="26" fillId="6" borderId="1" xfId="0" applyFont="1" applyFill="1" applyBorder="1" applyAlignment="1">
      <alignment horizontal="center" vertical="center"/>
    </xf>
    <xf numFmtId="49" fontId="26" fillId="6" borderId="1" xfId="0" applyNumberFormat="1" applyFont="1" applyFill="1" applyBorder="1" applyAlignment="1">
      <alignment horizontal="center" vertical="center" wrapText="1"/>
    </xf>
    <xf numFmtId="49" fontId="26" fillId="6" borderId="2" xfId="0" applyNumberFormat="1" applyFont="1" applyFill="1" applyBorder="1" applyAlignment="1">
      <alignment horizontal="center" vertical="center" wrapText="1"/>
    </xf>
    <xf numFmtId="49" fontId="26" fillId="6" borderId="3" xfId="0" applyNumberFormat="1" applyFont="1" applyFill="1" applyBorder="1" applyAlignment="1">
      <alignment horizontal="center" vertical="center" wrapText="1"/>
    </xf>
    <xf numFmtId="1" fontId="0" fillId="0" borderId="0" xfId="0" applyNumberFormat="1" applyAlignment="1">
      <alignment wrapText="1"/>
    </xf>
    <xf numFmtId="0" fontId="8" fillId="10" borderId="1" xfId="0" applyFont="1" applyFill="1" applyBorder="1" applyAlignment="1">
      <alignment horizontal="left" vertical="top"/>
    </xf>
    <xf numFmtId="49" fontId="8" fillId="10" borderId="1" xfId="0" applyNumberFormat="1" applyFont="1" applyFill="1" applyBorder="1" applyAlignment="1">
      <alignment horizontal="center" vertical="center"/>
    </xf>
    <xf numFmtId="0" fontId="0" fillId="25" borderId="1" xfId="0" applyFont="1" applyFill="1" applyBorder="1" applyAlignment="1">
      <alignment horizontal="center" vertical="center"/>
    </xf>
    <xf numFmtId="0" fontId="4" fillId="6" borderId="1" xfId="0" applyFont="1" applyFill="1" applyBorder="1" applyAlignment="1">
      <alignment horizontal="center"/>
    </xf>
    <xf numFmtId="0" fontId="29" fillId="0" borderId="0" xfId="0" applyFont="1" applyAlignment="1">
      <alignment wrapText="1"/>
    </xf>
    <xf numFmtId="0" fontId="29" fillId="6" borderId="1" xfId="0" applyFont="1" applyFill="1" applyBorder="1" applyAlignment="1">
      <alignment horizontal="center" vertical="center"/>
    </xf>
    <xf numFmtId="0" fontId="29" fillId="6" borderId="0" xfId="0" applyFont="1" applyFill="1"/>
    <xf numFmtId="10" fontId="4" fillId="6" borderId="1" xfId="0" applyNumberFormat="1" applyFont="1" applyFill="1" applyBorder="1" applyAlignment="1">
      <alignment horizontal="center" vertical="center"/>
    </xf>
    <xf numFmtId="0" fontId="4" fillId="10" borderId="1" xfId="0" applyFont="1" applyFill="1" applyBorder="1" applyAlignment="1">
      <alignment horizontal="center" vertical="center" wrapText="1"/>
    </xf>
    <xf numFmtId="10" fontId="4" fillId="10" borderId="1" xfId="0" applyNumberFormat="1" applyFont="1" applyFill="1" applyBorder="1" applyAlignment="1">
      <alignment horizontal="center" vertical="center"/>
    </xf>
    <xf numFmtId="0" fontId="29" fillId="10" borderId="1" xfId="0" applyFont="1" applyFill="1" applyBorder="1" applyAlignment="1">
      <alignment horizontal="center"/>
    </xf>
    <xf numFmtId="0" fontId="0" fillId="0" borderId="0" xfId="0" applyBorder="1"/>
    <xf numFmtId="0" fontId="0" fillId="0" borderId="1" xfId="0" applyFill="1" applyBorder="1" applyAlignment="1">
      <alignment horizontal="center" vertical="center"/>
    </xf>
    <xf numFmtId="49" fontId="8" fillId="11" borderId="1" xfId="0" applyNumberFormat="1" applyFont="1" applyFill="1" applyBorder="1" applyAlignment="1">
      <alignment horizontal="center" vertical="center"/>
    </xf>
    <xf numFmtId="49" fontId="33" fillId="11" borderId="1" xfId="0" applyNumberFormat="1" applyFont="1" applyFill="1" applyBorder="1" applyAlignment="1">
      <alignment horizontal="left" vertical="top" wrapText="1" readingOrder="1"/>
    </xf>
    <xf numFmtId="0" fontId="73" fillId="10" borderId="1" xfId="0" applyFont="1" applyFill="1" applyBorder="1" applyAlignment="1">
      <alignment horizontal="center" vertical="center" wrapText="1"/>
    </xf>
    <xf numFmtId="2" fontId="73" fillId="20" borderId="1" xfId="0" applyNumberFormat="1" applyFont="1" applyFill="1" applyBorder="1" applyAlignment="1">
      <alignment horizontal="center" vertical="center" wrapText="1"/>
    </xf>
    <xf numFmtId="49" fontId="0" fillId="10" borderId="1" xfId="0" applyNumberFormat="1" applyFont="1" applyFill="1" applyBorder="1" applyAlignment="1">
      <alignment horizontal="center" vertical="center" wrapText="1"/>
    </xf>
    <xf numFmtId="0" fontId="0" fillId="10" borderId="1" xfId="0" applyFont="1" applyFill="1" applyBorder="1" applyAlignment="1">
      <alignment horizontal="center" vertical="center"/>
    </xf>
    <xf numFmtId="2" fontId="0" fillId="10" borderId="1" xfId="0" applyNumberFormat="1" applyFont="1" applyFill="1" applyBorder="1" applyAlignment="1">
      <alignment horizontal="center" vertical="center"/>
    </xf>
    <xf numFmtId="0" fontId="0" fillId="10" borderId="1" xfId="0" applyFont="1" applyFill="1" applyBorder="1" applyAlignment="1">
      <alignment horizontal="center" vertical="center" wrapText="1"/>
    </xf>
    <xf numFmtId="0" fontId="0" fillId="10" borderId="7" xfId="0" applyFont="1" applyFill="1" applyBorder="1" applyAlignment="1">
      <alignment horizontal="center" vertical="center"/>
    </xf>
    <xf numFmtId="0" fontId="0" fillId="10" borderId="0" xfId="0" applyFont="1" applyFill="1"/>
    <xf numFmtId="2" fontId="0" fillId="20" borderId="1" xfId="0" applyNumberFormat="1" applyFont="1" applyFill="1" applyBorder="1" applyAlignment="1">
      <alignment horizontal="center" vertical="center" wrapText="1"/>
    </xf>
    <xf numFmtId="2" fontId="0" fillId="20" borderId="1" xfId="0" applyNumberFormat="1" applyFont="1" applyFill="1" applyBorder="1" applyAlignment="1">
      <alignment horizontal="center" vertical="center"/>
    </xf>
    <xf numFmtId="0" fontId="0" fillId="20" borderId="1" xfId="0" applyFont="1" applyFill="1" applyBorder="1" applyAlignment="1">
      <alignment horizontal="center" vertical="center"/>
    </xf>
    <xf numFmtId="0" fontId="0" fillId="20" borderId="1" xfId="0" applyFont="1" applyFill="1" applyBorder="1" applyAlignment="1">
      <alignment horizontal="center" vertical="center" wrapText="1"/>
    </xf>
    <xf numFmtId="2" fontId="0" fillId="20" borderId="7" xfId="0" applyNumberFormat="1" applyFont="1" applyFill="1" applyBorder="1" applyAlignment="1">
      <alignment horizontal="center" vertical="center"/>
    </xf>
    <xf numFmtId="0" fontId="0" fillId="20" borderId="7" xfId="0" applyFont="1" applyFill="1" applyBorder="1" applyAlignment="1">
      <alignment horizontal="center" vertical="center"/>
    </xf>
    <xf numFmtId="0" fontId="0" fillId="20" borderId="0" xfId="0" applyFont="1" applyFill="1"/>
    <xf numFmtId="1" fontId="73" fillId="31" borderId="14" xfId="0" applyNumberFormat="1" applyFont="1" applyFill="1" applyBorder="1" applyAlignment="1">
      <alignment horizontal="center" vertical="center" wrapText="1"/>
    </xf>
    <xf numFmtId="0" fontId="1" fillId="31" borderId="0" xfId="0" applyFont="1" applyFill="1"/>
    <xf numFmtId="1" fontId="0" fillId="31" borderId="14" xfId="0" applyNumberFormat="1" applyFont="1" applyFill="1" applyBorder="1" applyAlignment="1">
      <alignment horizontal="center" vertical="center" wrapText="1"/>
    </xf>
    <xf numFmtId="1" fontId="0" fillId="31" borderId="14" xfId="0" applyNumberFormat="1" applyFont="1" applyFill="1" applyBorder="1" applyAlignment="1">
      <alignment horizontal="center" vertical="center"/>
    </xf>
    <xf numFmtId="1" fontId="0" fillId="31" borderId="1" xfId="0" applyNumberFormat="1" applyFont="1" applyFill="1" applyBorder="1" applyAlignment="1">
      <alignment horizontal="center" vertical="center"/>
    </xf>
    <xf numFmtId="1" fontId="9" fillId="31" borderId="14" xfId="0" applyNumberFormat="1" applyFont="1" applyFill="1" applyBorder="1" applyAlignment="1">
      <alignment horizontal="center" vertical="center"/>
    </xf>
    <xf numFmtId="1" fontId="0" fillId="31" borderId="25" xfId="0" applyNumberFormat="1" applyFont="1" applyFill="1" applyBorder="1" applyAlignment="1">
      <alignment horizontal="center" vertical="center"/>
    </xf>
    <xf numFmtId="0" fontId="0" fillId="31" borderId="0" xfId="0" applyFont="1" applyFill="1"/>
    <xf numFmtId="1" fontId="1" fillId="31" borderId="6" xfId="0" applyNumberFormat="1" applyFont="1" applyFill="1" applyBorder="1" applyAlignment="1">
      <alignment horizontal="center" vertical="center" wrapText="1"/>
    </xf>
    <xf numFmtId="1" fontId="1" fillId="31" borderId="6" xfId="0" applyNumberFormat="1" applyFont="1" applyFill="1" applyBorder="1" applyAlignment="1">
      <alignment horizontal="center" vertical="center"/>
    </xf>
    <xf numFmtId="1" fontId="8" fillId="31" borderId="6" xfId="0" applyNumberFormat="1" applyFont="1" applyFill="1" applyBorder="1" applyAlignment="1">
      <alignment horizontal="center" vertical="center"/>
    </xf>
    <xf numFmtId="1" fontId="73" fillId="31" borderId="6" xfId="0" applyNumberFormat="1" applyFont="1" applyFill="1" applyBorder="1" applyAlignment="1">
      <alignment horizontal="center" vertical="center" wrapText="1"/>
    </xf>
    <xf numFmtId="1" fontId="1" fillId="31" borderId="10" xfId="0" applyNumberFormat="1" applyFont="1" applyFill="1" applyBorder="1" applyAlignment="1">
      <alignment horizontal="center" vertical="center"/>
    </xf>
    <xf numFmtId="0" fontId="1" fillId="22" borderId="14" xfId="0" applyFont="1" applyFill="1" applyBorder="1" applyAlignment="1">
      <alignment horizontal="center" vertical="center"/>
    </xf>
    <xf numFmtId="0" fontId="1" fillId="22" borderId="20" xfId="0" applyFont="1" applyFill="1" applyBorder="1" applyAlignment="1">
      <alignment horizontal="center" vertical="center"/>
    </xf>
    <xf numFmtId="0" fontId="1" fillId="22" borderId="6" xfId="0" applyFont="1" applyFill="1" applyBorder="1" applyAlignment="1">
      <alignment horizontal="center" vertical="center"/>
    </xf>
    <xf numFmtId="0" fontId="26" fillId="31" borderId="14" xfId="0" applyFont="1" applyFill="1" applyBorder="1" applyAlignment="1">
      <alignment horizontal="center" vertical="center" wrapText="1"/>
    </xf>
    <xf numFmtId="0" fontId="26" fillId="31" borderId="20" xfId="0" applyFont="1" applyFill="1" applyBorder="1" applyAlignment="1">
      <alignment horizontal="center" vertical="center" wrapText="1"/>
    </xf>
    <xf numFmtId="0" fontId="26" fillId="31" borderId="6" xfId="0" applyFont="1" applyFill="1" applyBorder="1" applyAlignment="1">
      <alignment horizontal="center" vertical="center" wrapText="1"/>
    </xf>
  </cellXfs>
  <cellStyles count="2">
    <cellStyle name="Hyperlink" xfId="1" builtinId="8"/>
    <cellStyle name="Normal" xfId="0" builtinId="0"/>
  </cellStyles>
  <dxfs count="22">
    <dxf>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696A6D"/>
        <name val="Roboto"/>
        <charset val="1"/>
        <scheme val="none"/>
      </font>
      <border diagonalUp="0" diagonalDown="0">
        <left style="thin">
          <color rgb="FF000000"/>
        </left>
        <right style="thin">
          <color rgb="FF000000"/>
        </right>
        <top style="thin">
          <color rgb="FF000000"/>
        </top>
        <bottom style="thin">
          <color rgb="FF000000"/>
        </bottom>
        <vertical/>
        <horizontal/>
      </border>
    </dxf>
    <dxf>
      <alignment horizontal="left" vertical="top"/>
      <border diagonalUp="0" diagonalDown="0">
        <left style="thin">
          <color rgb="FF000000"/>
        </left>
        <right style="thin">
          <color rgb="FF000000"/>
        </right>
        <top style="thin">
          <color rgb="FF000000"/>
        </top>
        <bottom style="thin">
          <color rgb="FF000000"/>
        </bottom>
        <vertical/>
        <horizontal/>
      </border>
    </dxf>
    <dxf>
      <border outline="0">
        <bottom style="thin">
          <color rgb="FF000000"/>
        </bottom>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style="thin">
          <color rgb="FF000000"/>
        </vertical>
        <horizontal style="thin">
          <color rgb="FF000000"/>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right style="thin">
          <color rgb="FF000000"/>
        </right>
        <top style="thin">
          <color rgb="FF000000"/>
        </top>
        <bottom style="thin">
          <color rgb="FF000000"/>
        </bottom>
        <vertical/>
        <horizontal/>
      </border>
    </dxf>
    <dxf>
      <border outline="0">
        <top style="thin">
          <color rgb="FF000000"/>
        </top>
      </border>
    </dxf>
    <dxf>
      <border outline="0">
        <bottom style="thin">
          <color rgb="FF000000"/>
        </bottom>
      </border>
    </dxf>
    <dxf>
      <border outline="0">
        <left style="thin">
          <color rgb="FF000000"/>
        </left>
        <right style="thin">
          <color rgb="FF000000"/>
        </right>
        <top style="thin">
          <color rgb="FF000000"/>
        </top>
        <bottom style="thin">
          <color rgb="FF000000"/>
        </bottom>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dxf>
    <dxf>
      <font>
        <b/>
      </font>
      <fill>
        <patternFill patternType="none">
          <fgColor indexed="64"/>
          <bgColor indexed="65"/>
        </patternFill>
      </fill>
      <alignment horizontal="center" vertical="center" textRotation="0" wrapText="1" indent="0" justifyLastLine="0" shrinkToFit="0" readingOrder="0"/>
      <border diagonalUp="0" diagonalDown="0">
        <left style="thin">
          <color rgb="FF000000"/>
        </left>
        <right style="thin">
          <color rgb="FF000000"/>
        </right>
        <top/>
        <bottom/>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s>
  <tableStyles count="0" defaultTableStyle="TableStyleMedium2" defaultPivotStyle="PivotStyleLight16"/>
  <colors>
    <mruColors>
      <color rgb="FFCC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theme" Target="theme/theme1.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pivotCacheDefinition" Target="pivotCache/pivotCacheDefinition1.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activeX1.xml><?xml version="1.0" encoding="utf-8"?>
<ax:ocx xmlns:ax="http://schemas.microsoft.com/office/2006/activeX" xmlns:r="http://schemas.openxmlformats.org/officeDocument/2006/relationships" ax:classid="{5512D116-5CC6-11CF-8D67-00AA00BDCE1D}" ax:persistence="persistStream" r:id="rId1"/>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7.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116</xdr:row>
      <xdr:rowOff>0</xdr:rowOff>
    </xdr:from>
    <xdr:to>
      <xdr:col>11</xdr:col>
      <xdr:colOff>24046</xdr:colOff>
      <xdr:row>141</xdr:row>
      <xdr:rowOff>51957</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0" y="33420424"/>
          <a:ext cx="8885714" cy="477142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10</xdr:col>
          <xdr:colOff>590550</xdr:colOff>
          <xdr:row>80</xdr:row>
          <xdr:rowOff>31750</xdr:rowOff>
        </xdr:from>
        <xdr:to>
          <xdr:col>11</xdr:col>
          <xdr:colOff>0</xdr:colOff>
          <xdr:row>81</xdr:row>
          <xdr:rowOff>63500</xdr:rowOff>
        </xdr:to>
        <xdr:sp macro="" textlink="">
          <xdr:nvSpPr>
            <xdr:cNvPr id="2065" name="Control 17" hidden="1">
              <a:extLst>
                <a:ext uri="{63B3BB69-23CF-44E3-9099-C40C66FF867C}">
                  <a14:compatExt spid="_x0000_s2065"/>
                </a:ext>
                <a:ext uri="{FF2B5EF4-FFF2-40B4-BE49-F238E27FC236}">
                  <a16:creationId xmlns:a16="http://schemas.microsoft.com/office/drawing/2014/main" id="{00000000-0008-0000-0300-00001108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13</xdr:col>
      <xdr:colOff>7629525</xdr:colOff>
      <xdr:row>196</xdr:row>
      <xdr:rowOff>120464</xdr:rowOff>
    </xdr:from>
    <xdr:to>
      <xdr:col>14</xdr:col>
      <xdr:colOff>4593100</xdr:colOff>
      <xdr:row>250</xdr:row>
      <xdr:rowOff>22222</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7240250" y="76710989"/>
          <a:ext cx="7681739" cy="91461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8</xdr:col>
      <xdr:colOff>76200</xdr:colOff>
      <xdr:row>20</xdr:row>
      <xdr:rowOff>161925</xdr:rowOff>
    </xdr:to>
    <xdr:pic>
      <xdr:nvPicPr>
        <xdr:cNvPr id="2" name="Picture 1">
          <a:extLst>
            <a:ext uri="{FF2B5EF4-FFF2-40B4-BE49-F238E27FC236}">
              <a16:creationId xmlns:a16="http://schemas.microsoft.com/office/drawing/2014/main" id="{FBB422A5-8AC5-551A-8651-7C656E9113C5}"/>
            </a:ext>
          </a:extLst>
        </xdr:cNvPr>
        <xdr:cNvPicPr>
          <a:picLocks noChangeAspect="1"/>
        </xdr:cNvPicPr>
      </xdr:nvPicPr>
      <xdr:blipFill>
        <a:blip xmlns:r="http://schemas.openxmlformats.org/officeDocument/2006/relationships" r:embed="rId1"/>
        <a:stretch>
          <a:fillRect/>
        </a:stretch>
      </xdr:blipFill>
      <xdr:spPr>
        <a:xfrm>
          <a:off x="0" y="381000"/>
          <a:ext cx="6581775" cy="3590925"/>
        </a:xfrm>
        <a:prstGeom prst="rect">
          <a:avLst/>
        </a:prstGeom>
      </xdr:spPr>
    </xdr:pic>
    <xdr:clientData/>
  </xdr:twoCellAnchor>
  <xdr:twoCellAnchor editAs="oneCell">
    <xdr:from>
      <xdr:col>8</xdr:col>
      <xdr:colOff>600075</xdr:colOff>
      <xdr:row>0</xdr:row>
      <xdr:rowOff>0</xdr:rowOff>
    </xdr:from>
    <xdr:to>
      <xdr:col>17</xdr:col>
      <xdr:colOff>542925</xdr:colOff>
      <xdr:row>18</xdr:row>
      <xdr:rowOff>66675</xdr:rowOff>
    </xdr:to>
    <xdr:pic>
      <xdr:nvPicPr>
        <xdr:cNvPr id="3" name="Picture 2">
          <a:extLst>
            <a:ext uri="{FF2B5EF4-FFF2-40B4-BE49-F238E27FC236}">
              <a16:creationId xmlns:a16="http://schemas.microsoft.com/office/drawing/2014/main" id="{D2164760-CF3D-5843-0F4D-D8AAC1BC9ECD}"/>
            </a:ext>
            <a:ext uri="{147F2762-F138-4A5C-976F-8EAC2B608ADB}">
              <a16:predDERef xmlns:a16="http://schemas.microsoft.com/office/drawing/2014/main" pred="{FBB422A5-8AC5-551A-8651-7C656E9113C5}"/>
            </a:ext>
          </a:extLst>
        </xdr:cNvPr>
        <xdr:cNvPicPr>
          <a:picLocks noChangeAspect="1"/>
        </xdr:cNvPicPr>
      </xdr:nvPicPr>
      <xdr:blipFill>
        <a:blip xmlns:r="http://schemas.openxmlformats.org/officeDocument/2006/relationships" r:embed="rId2"/>
        <a:stretch>
          <a:fillRect/>
        </a:stretch>
      </xdr:blipFill>
      <xdr:spPr>
        <a:xfrm>
          <a:off x="7105650" y="0"/>
          <a:ext cx="5429250" cy="3495675"/>
        </a:xfrm>
        <a:prstGeom prst="rect">
          <a:avLst/>
        </a:prstGeom>
      </xdr:spPr>
    </xdr:pic>
    <xdr:clientData/>
  </xdr:twoCellAnchor>
  <xdr:twoCellAnchor editAs="oneCell">
    <xdr:from>
      <xdr:col>0</xdr:col>
      <xdr:colOff>0</xdr:colOff>
      <xdr:row>22</xdr:row>
      <xdr:rowOff>0</xdr:rowOff>
    </xdr:from>
    <xdr:to>
      <xdr:col>6</xdr:col>
      <xdr:colOff>323850</xdr:colOff>
      <xdr:row>34</xdr:row>
      <xdr:rowOff>0</xdr:rowOff>
    </xdr:to>
    <xdr:pic>
      <xdr:nvPicPr>
        <xdr:cNvPr id="4" name="Picture 3">
          <a:extLst>
            <a:ext uri="{FF2B5EF4-FFF2-40B4-BE49-F238E27FC236}">
              <a16:creationId xmlns:a16="http://schemas.microsoft.com/office/drawing/2014/main" id="{ADEC2FBA-8CB2-6693-99FE-D3E660B8FEE2}"/>
            </a:ext>
            <a:ext uri="{147F2762-F138-4A5C-976F-8EAC2B608ADB}">
              <a16:predDERef xmlns:a16="http://schemas.microsoft.com/office/drawing/2014/main" pred="{D2164760-CF3D-5843-0F4D-D8AAC1BC9ECD}"/>
            </a:ext>
          </a:extLst>
        </xdr:cNvPr>
        <xdr:cNvPicPr>
          <a:picLocks noChangeAspect="1"/>
        </xdr:cNvPicPr>
      </xdr:nvPicPr>
      <xdr:blipFill>
        <a:blip xmlns:r="http://schemas.openxmlformats.org/officeDocument/2006/relationships" r:embed="rId3"/>
        <a:stretch>
          <a:fillRect/>
        </a:stretch>
      </xdr:blipFill>
      <xdr:spPr>
        <a:xfrm>
          <a:off x="0" y="4191000"/>
          <a:ext cx="5610225" cy="22860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18</xdr:col>
      <xdr:colOff>272561</xdr:colOff>
      <xdr:row>7</xdr:row>
      <xdr:rowOff>155331</xdr:rowOff>
    </xdr:from>
    <xdr:to>
      <xdr:col>37</xdr:col>
      <xdr:colOff>120848</xdr:colOff>
      <xdr:row>70</xdr:row>
      <xdr:rowOff>32777</xdr:rowOff>
    </xdr:to>
    <xdr:pic>
      <xdr:nvPicPr>
        <xdr:cNvPr id="2" name="Picture 1">
          <a:extLst>
            <a:ext uri="{FF2B5EF4-FFF2-40B4-BE49-F238E27FC236}">
              <a16:creationId xmlns:a16="http://schemas.microsoft.com/office/drawing/2014/main" id="{3BDF18D1-D2E3-5217-D2DF-D32DE51B71FE}"/>
            </a:ext>
          </a:extLst>
        </xdr:cNvPr>
        <xdr:cNvPicPr>
          <a:picLocks noChangeAspect="1"/>
        </xdr:cNvPicPr>
      </xdr:nvPicPr>
      <xdr:blipFill>
        <a:blip xmlns:r="http://schemas.openxmlformats.org/officeDocument/2006/relationships" r:embed="rId1"/>
        <a:stretch>
          <a:fillRect/>
        </a:stretch>
      </xdr:blipFill>
      <xdr:spPr>
        <a:xfrm>
          <a:off x="14493386" y="1460256"/>
          <a:ext cx="11428571" cy="15180213"/>
        </a:xfrm>
        <a:prstGeom prst="rect">
          <a:avLst/>
        </a:prstGeom>
      </xdr:spPr>
    </xdr:pic>
    <xdr:clientData/>
  </xdr:twoCellAnchor>
  <xdr:twoCellAnchor editAs="oneCell">
    <xdr:from>
      <xdr:col>1</xdr:col>
      <xdr:colOff>1</xdr:colOff>
      <xdr:row>42</xdr:row>
      <xdr:rowOff>0</xdr:rowOff>
    </xdr:from>
    <xdr:to>
      <xdr:col>5</xdr:col>
      <xdr:colOff>275054</xdr:colOff>
      <xdr:row>55</xdr:row>
      <xdr:rowOff>105507</xdr:rowOff>
    </xdr:to>
    <xdr:pic>
      <xdr:nvPicPr>
        <xdr:cNvPr id="3" name="Picture 2">
          <a:extLst>
            <a:ext uri="{FF2B5EF4-FFF2-40B4-BE49-F238E27FC236}">
              <a16:creationId xmlns:a16="http://schemas.microsoft.com/office/drawing/2014/main" id="{9602E06C-2D13-7838-651B-B8E283B2107B}"/>
            </a:ext>
          </a:extLst>
        </xdr:cNvPr>
        <xdr:cNvPicPr>
          <a:picLocks noChangeAspect="1"/>
        </xdr:cNvPicPr>
      </xdr:nvPicPr>
      <xdr:blipFill>
        <a:blip xmlns:r="http://schemas.openxmlformats.org/officeDocument/2006/relationships" r:embed="rId2"/>
        <a:stretch>
          <a:fillRect/>
        </a:stretch>
      </xdr:blipFill>
      <xdr:spPr>
        <a:xfrm>
          <a:off x="609601" y="8475785"/>
          <a:ext cx="6021070" cy="246770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8</xdr:col>
      <xdr:colOff>0</xdr:colOff>
      <xdr:row>14</xdr:row>
      <xdr:rowOff>104775</xdr:rowOff>
    </xdr:to>
    <xdr:pic>
      <xdr:nvPicPr>
        <xdr:cNvPr id="2" name="Picture 1">
          <a:extLst>
            <a:ext uri="{FF2B5EF4-FFF2-40B4-BE49-F238E27FC236}">
              <a16:creationId xmlns:a16="http://schemas.microsoft.com/office/drawing/2014/main" id="{B938D3A8-2D38-4F73-C03B-DE4995AFB628}"/>
            </a:ext>
          </a:extLst>
        </xdr:cNvPr>
        <xdr:cNvPicPr>
          <a:picLocks noChangeAspect="1"/>
        </xdr:cNvPicPr>
      </xdr:nvPicPr>
      <xdr:blipFill>
        <a:blip xmlns:r="http://schemas.openxmlformats.org/officeDocument/2006/relationships" r:embed="rId1"/>
        <a:stretch>
          <a:fillRect/>
        </a:stretch>
      </xdr:blipFill>
      <xdr:spPr>
        <a:xfrm>
          <a:off x="66675" y="0"/>
          <a:ext cx="4810125" cy="2771775"/>
        </a:xfrm>
        <a:prstGeom prst="rect">
          <a:avLst/>
        </a:prstGeom>
      </xdr:spPr>
    </xdr:pic>
    <xdr:clientData/>
  </xdr:twoCellAnchor>
  <xdr:twoCellAnchor editAs="oneCell">
    <xdr:from>
      <xdr:col>8</xdr:col>
      <xdr:colOff>180975</xdr:colOff>
      <xdr:row>0</xdr:row>
      <xdr:rowOff>0</xdr:rowOff>
    </xdr:from>
    <xdr:to>
      <xdr:col>18</xdr:col>
      <xdr:colOff>161925</xdr:colOff>
      <xdr:row>15</xdr:row>
      <xdr:rowOff>0</xdr:rowOff>
    </xdr:to>
    <xdr:pic>
      <xdr:nvPicPr>
        <xdr:cNvPr id="3" name="Picture 2">
          <a:extLst>
            <a:ext uri="{FF2B5EF4-FFF2-40B4-BE49-F238E27FC236}">
              <a16:creationId xmlns:a16="http://schemas.microsoft.com/office/drawing/2014/main" id="{AAEC87A8-32FA-2559-3102-4BEF0C2AA659}"/>
            </a:ext>
            <a:ext uri="{147F2762-F138-4A5C-976F-8EAC2B608ADB}">
              <a16:predDERef xmlns:a16="http://schemas.microsoft.com/office/drawing/2014/main" pred="{B938D3A8-2D38-4F73-C03B-DE4995AFB628}"/>
            </a:ext>
          </a:extLst>
        </xdr:cNvPr>
        <xdr:cNvPicPr>
          <a:picLocks noChangeAspect="1"/>
        </xdr:cNvPicPr>
      </xdr:nvPicPr>
      <xdr:blipFill>
        <a:blip xmlns:r="http://schemas.openxmlformats.org/officeDocument/2006/relationships" r:embed="rId2"/>
        <a:stretch>
          <a:fillRect/>
        </a:stretch>
      </xdr:blipFill>
      <xdr:spPr>
        <a:xfrm>
          <a:off x="5057775" y="0"/>
          <a:ext cx="6076950" cy="2847975"/>
        </a:xfrm>
        <a:prstGeom prst="rect">
          <a:avLst/>
        </a:prstGeom>
      </xdr:spPr>
    </xdr:pic>
    <xdr:clientData/>
  </xdr:twoCellAnchor>
  <xdr:twoCellAnchor editAs="oneCell">
    <xdr:from>
      <xdr:col>0</xdr:col>
      <xdr:colOff>104775</xdr:colOff>
      <xdr:row>14</xdr:row>
      <xdr:rowOff>47625</xdr:rowOff>
    </xdr:from>
    <xdr:to>
      <xdr:col>11</xdr:col>
      <xdr:colOff>381000</xdr:colOff>
      <xdr:row>21</xdr:row>
      <xdr:rowOff>171450</xdr:rowOff>
    </xdr:to>
    <xdr:pic>
      <xdr:nvPicPr>
        <xdr:cNvPr id="4" name="Picture 3">
          <a:extLst>
            <a:ext uri="{FF2B5EF4-FFF2-40B4-BE49-F238E27FC236}">
              <a16:creationId xmlns:a16="http://schemas.microsoft.com/office/drawing/2014/main" id="{54A60152-8F55-FBAB-0EE2-D0B714735962}"/>
            </a:ext>
            <a:ext uri="{147F2762-F138-4A5C-976F-8EAC2B608ADB}">
              <a16:predDERef xmlns:a16="http://schemas.microsoft.com/office/drawing/2014/main" pred="{AAEC87A8-32FA-2559-3102-4BEF0C2AA659}"/>
            </a:ext>
          </a:extLst>
        </xdr:cNvPr>
        <xdr:cNvPicPr>
          <a:picLocks noChangeAspect="1"/>
        </xdr:cNvPicPr>
      </xdr:nvPicPr>
      <xdr:blipFill>
        <a:blip xmlns:r="http://schemas.openxmlformats.org/officeDocument/2006/relationships" r:embed="rId3"/>
        <a:stretch>
          <a:fillRect/>
        </a:stretch>
      </xdr:blipFill>
      <xdr:spPr>
        <a:xfrm>
          <a:off x="104775" y="2714625"/>
          <a:ext cx="6981825" cy="1457325"/>
        </a:xfrm>
        <a:prstGeom prst="rect">
          <a:avLst/>
        </a:prstGeom>
      </xdr:spPr>
    </xdr:pic>
    <xdr:clientData/>
  </xdr:twoCellAnchor>
  <xdr:twoCellAnchor editAs="oneCell">
    <xdr:from>
      <xdr:col>6</xdr:col>
      <xdr:colOff>219075</xdr:colOff>
      <xdr:row>22</xdr:row>
      <xdr:rowOff>38100</xdr:rowOff>
    </xdr:from>
    <xdr:to>
      <xdr:col>18</xdr:col>
      <xdr:colOff>276225</xdr:colOff>
      <xdr:row>25</xdr:row>
      <xdr:rowOff>142875</xdr:rowOff>
    </xdr:to>
    <xdr:pic>
      <xdr:nvPicPr>
        <xdr:cNvPr id="5" name="Picture 4">
          <a:extLst>
            <a:ext uri="{FF2B5EF4-FFF2-40B4-BE49-F238E27FC236}">
              <a16:creationId xmlns:a16="http://schemas.microsoft.com/office/drawing/2014/main" id="{31D6AC13-E3B3-B6D0-86C6-8FCD74DB160D}"/>
            </a:ext>
            <a:ext uri="{147F2762-F138-4A5C-976F-8EAC2B608ADB}">
              <a16:predDERef xmlns:a16="http://schemas.microsoft.com/office/drawing/2014/main" pred="{54A60152-8F55-FBAB-0EE2-D0B714735962}"/>
            </a:ext>
          </a:extLst>
        </xdr:cNvPr>
        <xdr:cNvPicPr>
          <a:picLocks noChangeAspect="1"/>
        </xdr:cNvPicPr>
      </xdr:nvPicPr>
      <xdr:blipFill>
        <a:blip xmlns:r="http://schemas.openxmlformats.org/officeDocument/2006/relationships" r:embed="rId4"/>
        <a:stretch>
          <a:fillRect/>
        </a:stretch>
      </xdr:blipFill>
      <xdr:spPr>
        <a:xfrm>
          <a:off x="3876675" y="4229100"/>
          <a:ext cx="7372350" cy="676275"/>
        </a:xfrm>
        <a:prstGeom prst="rect">
          <a:avLst/>
        </a:prstGeom>
      </xdr:spPr>
    </xdr:pic>
    <xdr:clientData/>
  </xdr:twoCellAnchor>
  <xdr:twoCellAnchor editAs="oneCell">
    <xdr:from>
      <xdr:col>13</xdr:col>
      <xdr:colOff>0</xdr:colOff>
      <xdr:row>15</xdr:row>
      <xdr:rowOff>0</xdr:rowOff>
    </xdr:from>
    <xdr:to>
      <xdr:col>20</xdr:col>
      <xdr:colOff>295275</xdr:colOff>
      <xdr:row>24</xdr:row>
      <xdr:rowOff>171450</xdr:rowOff>
    </xdr:to>
    <xdr:pic>
      <xdr:nvPicPr>
        <xdr:cNvPr id="6" name="Picture 5">
          <a:extLst>
            <a:ext uri="{FF2B5EF4-FFF2-40B4-BE49-F238E27FC236}">
              <a16:creationId xmlns:a16="http://schemas.microsoft.com/office/drawing/2014/main" id="{902BC557-222F-716F-ADAA-F0C6310306D1}"/>
            </a:ext>
            <a:ext uri="{147F2762-F138-4A5C-976F-8EAC2B608ADB}">
              <a16:predDERef xmlns:a16="http://schemas.microsoft.com/office/drawing/2014/main" pred="{31D6AC13-E3B3-B6D0-86C6-8FCD74DB160D}"/>
            </a:ext>
          </a:extLst>
        </xdr:cNvPr>
        <xdr:cNvPicPr>
          <a:picLocks noChangeAspect="1"/>
        </xdr:cNvPicPr>
      </xdr:nvPicPr>
      <xdr:blipFill>
        <a:blip xmlns:r="http://schemas.openxmlformats.org/officeDocument/2006/relationships" r:embed="rId5"/>
        <a:stretch>
          <a:fillRect/>
        </a:stretch>
      </xdr:blipFill>
      <xdr:spPr>
        <a:xfrm>
          <a:off x="7924800" y="2857500"/>
          <a:ext cx="4562475" cy="1885950"/>
        </a:xfrm>
        <a:prstGeom prst="rect">
          <a:avLst/>
        </a:prstGeom>
      </xdr:spPr>
    </xdr:pic>
    <xdr:clientData/>
  </xdr:twoCellAnchor>
  <xdr:twoCellAnchor editAs="oneCell">
    <xdr:from>
      <xdr:col>0</xdr:col>
      <xdr:colOff>0</xdr:colOff>
      <xdr:row>26</xdr:row>
      <xdr:rowOff>0</xdr:rowOff>
    </xdr:from>
    <xdr:to>
      <xdr:col>10</xdr:col>
      <xdr:colOff>419100</xdr:colOff>
      <xdr:row>40</xdr:row>
      <xdr:rowOff>76200</xdr:rowOff>
    </xdr:to>
    <xdr:pic>
      <xdr:nvPicPr>
        <xdr:cNvPr id="7" name="Picture 6">
          <a:extLst>
            <a:ext uri="{FF2B5EF4-FFF2-40B4-BE49-F238E27FC236}">
              <a16:creationId xmlns:a16="http://schemas.microsoft.com/office/drawing/2014/main" id="{D5CA6BD2-80F2-9C35-E315-78EA6254E11C}"/>
            </a:ext>
            <a:ext uri="{147F2762-F138-4A5C-976F-8EAC2B608ADB}">
              <a16:predDERef xmlns:a16="http://schemas.microsoft.com/office/drawing/2014/main" pred="{902BC557-222F-716F-ADAA-F0C6310306D1}"/>
            </a:ext>
          </a:extLst>
        </xdr:cNvPr>
        <xdr:cNvPicPr>
          <a:picLocks noChangeAspect="1"/>
        </xdr:cNvPicPr>
      </xdr:nvPicPr>
      <xdr:blipFill>
        <a:blip xmlns:r="http://schemas.openxmlformats.org/officeDocument/2006/relationships" r:embed="rId6"/>
        <a:stretch>
          <a:fillRect/>
        </a:stretch>
      </xdr:blipFill>
      <xdr:spPr>
        <a:xfrm>
          <a:off x="0" y="4953000"/>
          <a:ext cx="6515100" cy="27432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xdr:colOff>
      <xdr:row>0</xdr:row>
      <xdr:rowOff>1</xdr:rowOff>
    </xdr:from>
    <xdr:to>
      <xdr:col>7</xdr:col>
      <xdr:colOff>198120</xdr:colOff>
      <xdr:row>8</xdr:row>
      <xdr:rowOff>99061</xdr:rowOff>
    </xdr:to>
    <xdr:pic>
      <xdr:nvPicPr>
        <xdr:cNvPr id="2" name="Picture 1">
          <a:extLst>
            <a:ext uri="{FF2B5EF4-FFF2-40B4-BE49-F238E27FC236}">
              <a16:creationId xmlns:a16="http://schemas.microsoft.com/office/drawing/2014/main" id="{B082512D-AF8F-97F6-ADC6-156938D089F8}"/>
            </a:ext>
          </a:extLst>
        </xdr:cNvPr>
        <xdr:cNvPicPr>
          <a:picLocks noChangeAspect="1"/>
        </xdr:cNvPicPr>
      </xdr:nvPicPr>
      <xdr:blipFill>
        <a:blip xmlns:r="http://schemas.openxmlformats.org/officeDocument/2006/relationships" r:embed="rId1"/>
        <a:stretch>
          <a:fillRect/>
        </a:stretch>
      </xdr:blipFill>
      <xdr:spPr>
        <a:xfrm>
          <a:off x="1" y="1"/>
          <a:ext cx="4465319" cy="1562100"/>
        </a:xfrm>
        <a:prstGeom prst="rect">
          <a:avLst/>
        </a:prstGeom>
      </xdr:spPr>
    </xdr:pic>
    <xdr:clientData/>
  </xdr:twoCellAnchor>
  <xdr:twoCellAnchor editAs="oneCell">
    <xdr:from>
      <xdr:col>0</xdr:col>
      <xdr:colOff>0</xdr:colOff>
      <xdr:row>9</xdr:row>
      <xdr:rowOff>0</xdr:rowOff>
    </xdr:from>
    <xdr:to>
      <xdr:col>7</xdr:col>
      <xdr:colOff>281940</xdr:colOff>
      <xdr:row>16</xdr:row>
      <xdr:rowOff>81745</xdr:rowOff>
    </xdr:to>
    <xdr:pic>
      <xdr:nvPicPr>
        <xdr:cNvPr id="3" name="Picture 2">
          <a:extLst>
            <a:ext uri="{FF2B5EF4-FFF2-40B4-BE49-F238E27FC236}">
              <a16:creationId xmlns:a16="http://schemas.microsoft.com/office/drawing/2014/main" id="{654FE08D-2448-474D-2906-C211B7DC169B}"/>
            </a:ext>
          </a:extLst>
        </xdr:cNvPr>
        <xdr:cNvPicPr>
          <a:picLocks noChangeAspect="1"/>
        </xdr:cNvPicPr>
      </xdr:nvPicPr>
      <xdr:blipFill>
        <a:blip xmlns:r="http://schemas.openxmlformats.org/officeDocument/2006/relationships" r:embed="rId2"/>
        <a:stretch>
          <a:fillRect/>
        </a:stretch>
      </xdr:blipFill>
      <xdr:spPr>
        <a:xfrm>
          <a:off x="0" y="1645920"/>
          <a:ext cx="4549140" cy="1361905"/>
        </a:xfrm>
        <a:prstGeom prst="rect">
          <a:avLst/>
        </a:prstGeom>
      </xdr:spPr>
    </xdr:pic>
    <xdr:clientData/>
  </xdr:twoCellAnchor>
  <xdr:twoCellAnchor editAs="oneCell">
    <xdr:from>
      <xdr:col>7</xdr:col>
      <xdr:colOff>274320</xdr:colOff>
      <xdr:row>0</xdr:row>
      <xdr:rowOff>0</xdr:rowOff>
    </xdr:from>
    <xdr:to>
      <xdr:col>15</xdr:col>
      <xdr:colOff>76200</xdr:colOff>
      <xdr:row>8</xdr:row>
      <xdr:rowOff>30480</xdr:rowOff>
    </xdr:to>
    <xdr:pic>
      <xdr:nvPicPr>
        <xdr:cNvPr id="6" name="Picture 5">
          <a:extLst>
            <a:ext uri="{FF2B5EF4-FFF2-40B4-BE49-F238E27FC236}">
              <a16:creationId xmlns:a16="http://schemas.microsoft.com/office/drawing/2014/main" id="{7295A991-DD4D-6641-64E4-EC943EED1FFA}"/>
            </a:ext>
          </a:extLst>
        </xdr:cNvPr>
        <xdr:cNvPicPr>
          <a:picLocks noChangeAspect="1"/>
        </xdr:cNvPicPr>
      </xdr:nvPicPr>
      <xdr:blipFill>
        <a:blip xmlns:r="http://schemas.openxmlformats.org/officeDocument/2006/relationships" r:embed="rId3"/>
        <a:stretch>
          <a:fillRect/>
        </a:stretch>
      </xdr:blipFill>
      <xdr:spPr>
        <a:xfrm>
          <a:off x="4541520" y="0"/>
          <a:ext cx="4678680" cy="149352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83820</xdr:colOff>
      <xdr:row>4</xdr:row>
      <xdr:rowOff>153670</xdr:rowOff>
    </xdr:from>
    <xdr:to>
      <xdr:col>13</xdr:col>
      <xdr:colOff>357802</xdr:colOff>
      <xdr:row>13</xdr:row>
      <xdr:rowOff>63872</xdr:rowOff>
    </xdr:to>
    <xdr:pic>
      <xdr:nvPicPr>
        <xdr:cNvPr id="4" name="Picture 3">
          <a:extLst>
            <a:ext uri="{FF2B5EF4-FFF2-40B4-BE49-F238E27FC236}">
              <a16:creationId xmlns:a16="http://schemas.microsoft.com/office/drawing/2014/main" id="{BDD03F81-4E80-8F96-B2B2-FBF99751576F}"/>
            </a:ext>
          </a:extLst>
        </xdr:cNvPr>
        <xdr:cNvPicPr>
          <a:picLocks noChangeAspect="1"/>
        </xdr:cNvPicPr>
      </xdr:nvPicPr>
      <xdr:blipFill>
        <a:blip xmlns:r="http://schemas.openxmlformats.org/officeDocument/2006/relationships" r:embed="rId1"/>
        <a:stretch>
          <a:fillRect/>
        </a:stretch>
      </xdr:blipFill>
      <xdr:spPr>
        <a:xfrm>
          <a:off x="7734300" y="885190"/>
          <a:ext cx="2704762" cy="2103492"/>
        </a:xfrm>
        <a:prstGeom prst="rect">
          <a:avLst/>
        </a:prstGeom>
      </xdr:spPr>
    </xdr:pic>
    <xdr:clientData/>
  </xdr:twoCellAnchor>
  <xdr:twoCellAnchor editAs="oneCell">
    <xdr:from>
      <xdr:col>13</xdr:col>
      <xdr:colOff>414021</xdr:colOff>
      <xdr:row>5</xdr:row>
      <xdr:rowOff>128270</xdr:rowOff>
    </xdr:from>
    <xdr:to>
      <xdr:col>18</xdr:col>
      <xdr:colOff>264161</xdr:colOff>
      <xdr:row>10</xdr:row>
      <xdr:rowOff>134620</xdr:rowOff>
    </xdr:to>
    <xdr:pic>
      <xdr:nvPicPr>
        <xdr:cNvPr id="5" name="Picture 4">
          <a:extLst>
            <a:ext uri="{FF2B5EF4-FFF2-40B4-BE49-F238E27FC236}">
              <a16:creationId xmlns:a16="http://schemas.microsoft.com/office/drawing/2014/main" id="{43041C78-ABC7-DF79-7085-AAB473A00BEA}"/>
            </a:ext>
          </a:extLst>
        </xdr:cNvPr>
        <xdr:cNvPicPr>
          <a:picLocks noChangeAspect="1"/>
        </xdr:cNvPicPr>
      </xdr:nvPicPr>
      <xdr:blipFill>
        <a:blip xmlns:r="http://schemas.openxmlformats.org/officeDocument/2006/relationships" r:embed="rId2"/>
        <a:stretch>
          <a:fillRect/>
        </a:stretch>
      </xdr:blipFill>
      <xdr:spPr>
        <a:xfrm>
          <a:off x="10502901" y="1042670"/>
          <a:ext cx="2898140" cy="147447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495300</xdr:colOff>
      <xdr:row>31</xdr:row>
      <xdr:rowOff>161925</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0" y="0"/>
          <a:ext cx="7810500" cy="6067425"/>
        </a:xfrm>
        <a:prstGeom prst="rect">
          <a:avLst/>
        </a:prstGeom>
      </xdr:spPr>
    </xdr:pic>
    <xdr:clientData/>
  </xdr:twoCellAnchor>
  <xdr:twoCellAnchor editAs="oneCell">
    <xdr:from>
      <xdr:col>0</xdr:col>
      <xdr:colOff>0</xdr:colOff>
      <xdr:row>31</xdr:row>
      <xdr:rowOff>57150</xdr:rowOff>
    </xdr:from>
    <xdr:to>
      <xdr:col>15</xdr:col>
      <xdr:colOff>514350</xdr:colOff>
      <xdr:row>56</xdr:row>
      <xdr:rowOff>76200</xdr:rowOff>
    </xdr:to>
    <xdr:pic>
      <xdr:nvPicPr>
        <xdr:cNvPr id="3" name="Picture 2">
          <a:extLst>
            <a:ext uri="{FF2B5EF4-FFF2-40B4-BE49-F238E27FC236}">
              <a16:creationId xmlns:a16="http://schemas.microsoft.com/office/drawing/2014/main" id="{00000000-0008-0000-0E00-000003000000}"/>
            </a:ext>
            <a:ext uri="{147F2762-F138-4A5C-976F-8EAC2B608ADB}">
              <a16:predDERef xmlns:a16="http://schemas.microsoft.com/office/drawing/2014/main" pred="{36D50842-6CFA-372B-D0A0-8B421ABFD114}"/>
            </a:ext>
          </a:extLst>
        </xdr:cNvPr>
        <xdr:cNvPicPr>
          <a:picLocks noChangeAspect="1"/>
        </xdr:cNvPicPr>
      </xdr:nvPicPr>
      <xdr:blipFill>
        <a:blip xmlns:r="http://schemas.openxmlformats.org/officeDocument/2006/relationships" r:embed="rId2"/>
        <a:stretch>
          <a:fillRect/>
        </a:stretch>
      </xdr:blipFill>
      <xdr:spPr>
        <a:xfrm>
          <a:off x="0" y="5962650"/>
          <a:ext cx="9658350" cy="4781550"/>
        </a:xfrm>
        <a:prstGeom prst="rect">
          <a:avLst/>
        </a:prstGeom>
      </xdr:spPr>
    </xdr:pic>
    <xdr:clientData/>
  </xdr:twoCellAnchor>
  <xdr:twoCellAnchor editAs="oneCell">
    <xdr:from>
      <xdr:col>13</xdr:col>
      <xdr:colOff>57150</xdr:colOff>
      <xdr:row>0</xdr:row>
      <xdr:rowOff>0</xdr:rowOff>
    </xdr:from>
    <xdr:to>
      <xdr:col>27</xdr:col>
      <xdr:colOff>447675</xdr:colOff>
      <xdr:row>22</xdr:row>
      <xdr:rowOff>104775</xdr:rowOff>
    </xdr:to>
    <xdr:pic>
      <xdr:nvPicPr>
        <xdr:cNvPr id="4" name="Picture 3">
          <a:extLst>
            <a:ext uri="{FF2B5EF4-FFF2-40B4-BE49-F238E27FC236}">
              <a16:creationId xmlns:a16="http://schemas.microsoft.com/office/drawing/2014/main" id="{00000000-0008-0000-0E00-000004000000}"/>
            </a:ext>
            <a:ext uri="{147F2762-F138-4A5C-976F-8EAC2B608ADB}">
              <a16:predDERef xmlns:a16="http://schemas.microsoft.com/office/drawing/2014/main" pred="{DDD5473A-6C9B-EC21-8BC9-A25C29088642}"/>
            </a:ext>
          </a:extLst>
        </xdr:cNvPr>
        <xdr:cNvPicPr>
          <a:picLocks noChangeAspect="1"/>
        </xdr:cNvPicPr>
      </xdr:nvPicPr>
      <xdr:blipFill>
        <a:blip xmlns:r="http://schemas.openxmlformats.org/officeDocument/2006/relationships" r:embed="rId3"/>
        <a:stretch>
          <a:fillRect/>
        </a:stretch>
      </xdr:blipFill>
      <xdr:spPr>
        <a:xfrm>
          <a:off x="7981950" y="0"/>
          <a:ext cx="8924925" cy="429577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ailendra Joshi" refreshedDate="45499.647179398147" createdVersion="8" refreshedVersion="8" minRefreshableVersion="3" recordCount="104" xr:uid="{FFF11B72-3A46-4834-A145-FFB8DA3A7872}">
  <cacheSource type="worksheet">
    <worksheetSource ref="A1:E120" sheet="MyPorfolio"/>
  </cacheSource>
  <cacheFields count="5">
    <cacheField name="Sno" numFmtId="0">
      <sharedItems containsString="0" containsBlank="1" containsNumber="1" containsInteger="1" minValue="1" maxValue="2234"/>
    </cacheField>
    <cacheField name="NAME" numFmtId="0">
      <sharedItems/>
    </cacheField>
    <cacheField name="Mrkcap" numFmtId="1">
      <sharedItems containsString="0" containsBlank="1" containsNumber="1" minValue="118.35" maxValue="2041956.23" count="66">
        <n v="1951.8"/>
        <n v="215.87"/>
        <n v="3440.3"/>
        <n v="2500.75"/>
        <n v="1696.2"/>
        <n v="18456.79"/>
        <n v="114756.31"/>
        <n v="11719.51"/>
        <n v="137347"/>
        <n v="8107.68"/>
        <n v="22164.28"/>
        <n v="14171.59"/>
        <n v="3072.35"/>
        <n v="5698.21"/>
        <n v="6774.72"/>
        <n v="849664"/>
        <n v="1325.18"/>
        <n v="52740.19"/>
        <n v="7104.81"/>
        <n v="2181.88"/>
        <n v="15876.48"/>
        <n v="1747.25"/>
        <n v="360584"/>
        <n v="422.45"/>
        <n v="505930.35"/>
        <n v="44985.63"/>
        <n v="7905.03"/>
        <n v="71589.039999999994"/>
        <n v="4171.09"/>
        <n v="1034.8599999999999"/>
        <n v="23904.9"/>
        <m/>
        <n v="2280.62"/>
        <n v="1829.73"/>
        <n v="2245.62"/>
        <n v="3302.33"/>
        <n v="29116.53"/>
        <n v="12864.16"/>
        <n v="1911.46"/>
        <n v="1686.98"/>
        <n v="707.19"/>
        <n v="9574"/>
        <n v="9257.8799999999992"/>
        <n v="2041956.23"/>
        <n v="720.96"/>
        <n v="448.81"/>
        <n v="118.35"/>
        <n v="3839.32"/>
        <n v="40480.44"/>
        <n v="263.97000000000003"/>
        <n v="448.73"/>
        <n v="40480"/>
        <n v="35910.089999999997"/>
        <n v="3304.45"/>
        <n v="780.72"/>
        <n v="1885.37"/>
        <n v="16011.01"/>
        <n v="43354.37"/>
        <n v="142096.75"/>
        <n v="3084.51"/>
        <n v="7911.5"/>
        <n v="11354.68"/>
        <n v="8374.8700000000008"/>
        <n v="4111.6099999999997"/>
        <n v="12879.36"/>
        <n v="551.97"/>
      </sharedItems>
    </cacheField>
    <cacheField name="CAP" numFmtId="0">
      <sharedItems count="3">
        <s v="SMALLCAP"/>
        <s v="MIDCAP"/>
        <s v="LARGECAP"/>
      </sharedItems>
    </cacheField>
    <cacheField name="INVEST" numFmtId="0">
      <sharedItems containsSemiMixedTypes="0" containsString="0" containsNumber="1" minValue="0" maxValue="4.13"/>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4">
  <r>
    <n v="1"/>
    <s v="ADORWELD"/>
    <x v="0"/>
    <x v="0"/>
    <n v="0.03"/>
  </r>
  <r>
    <n v="2"/>
    <s v="ATAM"/>
    <x v="1"/>
    <x v="0"/>
    <n v="2.04"/>
  </r>
  <r>
    <n v="2224"/>
    <s v="AVALON"/>
    <x v="2"/>
    <x v="0"/>
    <n v="0.24"/>
  </r>
  <r>
    <n v="1101"/>
    <s v="AVP INFRA"/>
    <x v="1"/>
    <x v="0"/>
    <n v="2.15"/>
  </r>
  <r>
    <n v="3"/>
    <s v="AWHCL"/>
    <x v="3"/>
    <x v="0"/>
    <n v="0.24"/>
  </r>
  <r>
    <n v="4"/>
    <s v="BCLIND"/>
    <x v="4"/>
    <x v="0"/>
    <n v="0.11"/>
  </r>
  <r>
    <n v="2206"/>
    <s v="BCLIND"/>
    <x v="4"/>
    <x v="0"/>
    <n v="1"/>
  </r>
  <r>
    <n v="2212"/>
    <s v="DATAPATTNS"/>
    <x v="5"/>
    <x v="1"/>
    <n v="0.66"/>
  </r>
  <r>
    <n v="5"/>
    <s v="DRREDDY"/>
    <x v="6"/>
    <x v="2"/>
    <n v="0.67"/>
  </r>
  <r>
    <n v="2205"/>
    <s v="DRREDDY"/>
    <x v="6"/>
    <x v="2"/>
    <n v="1.1000000000000001"/>
  </r>
  <r>
    <n v="2213"/>
    <s v="ECLERX"/>
    <x v="7"/>
    <x v="1"/>
    <n v="0.6"/>
  </r>
  <r>
    <m/>
    <s v="EICHERMOT"/>
    <x v="8"/>
    <x v="2"/>
    <n v="0.1"/>
  </r>
  <r>
    <n v="6"/>
    <s v="ETHOSLTD"/>
    <x v="9"/>
    <x v="1"/>
    <n v="0.78"/>
  </r>
  <r>
    <n v="1108"/>
    <s v="FiveSTAR"/>
    <x v="10"/>
    <x v="2"/>
    <n v="0.31"/>
  </r>
  <r>
    <n v="2210"/>
    <s v="FiveSTAR"/>
    <x v="10"/>
    <x v="2"/>
    <n v="0.76"/>
  </r>
  <r>
    <n v="1104"/>
    <s v="Godawari pwr"/>
    <x v="11"/>
    <x v="1"/>
    <n v="0.66"/>
  </r>
  <r>
    <n v="7"/>
    <s v="GOODLUCK"/>
    <x v="12"/>
    <x v="0"/>
    <n v="0.94"/>
  </r>
  <r>
    <n v="2232"/>
    <s v="GOODLUCK"/>
    <x v="12"/>
    <x v="0"/>
    <n v="7.0000000000000007E-2"/>
  </r>
  <r>
    <n v="8"/>
    <s v="GPIL"/>
    <x v="11"/>
    <x v="1"/>
    <n v="0.67"/>
  </r>
  <r>
    <n v="2216"/>
    <s v="GPIL"/>
    <x v="11"/>
    <x v="1"/>
    <n v="0.52"/>
  </r>
  <r>
    <n v="9"/>
    <s v="GRWRHITECH"/>
    <x v="13"/>
    <x v="1"/>
    <n v="0.81"/>
  </r>
  <r>
    <n v="1110"/>
    <s v="HINDUSTANFOOD"/>
    <x v="14"/>
    <x v="1"/>
    <n v="0.24"/>
  </r>
  <r>
    <n v="10"/>
    <s v="HINDUSTANFOOD"/>
    <x v="14"/>
    <x v="1"/>
    <n v="0.51"/>
  </r>
  <r>
    <m/>
    <s v="ICICI BANK"/>
    <x v="15"/>
    <x v="2"/>
    <n v="0.24"/>
  </r>
  <r>
    <n v="11"/>
    <s v="ICEMAKE"/>
    <x v="16"/>
    <x v="0"/>
    <n v="0.03"/>
  </r>
  <r>
    <n v="1106"/>
    <s v="ICEMAKE"/>
    <x v="16"/>
    <x v="0"/>
    <n v="0.43"/>
  </r>
  <r>
    <n v="2218"/>
    <s v="ICEMAKE"/>
    <x v="16"/>
    <x v="0"/>
    <n v="0.37"/>
  </r>
  <r>
    <n v="1114"/>
    <s v="IDFC First"/>
    <x v="17"/>
    <x v="2"/>
    <n v="5.7000000000000002E-2"/>
  </r>
  <r>
    <n v="12"/>
    <s v="IDFCFIRSTB"/>
    <x v="17"/>
    <x v="2"/>
    <n v="1.04"/>
  </r>
  <r>
    <n v="2227"/>
    <s v="IDFCFIRSTB"/>
    <x v="17"/>
    <x v="2"/>
    <n v="0.15"/>
  </r>
  <r>
    <n v="13"/>
    <s v="INDIGOPNTS"/>
    <x v="18"/>
    <x v="1"/>
    <n v="0.79"/>
  </r>
  <r>
    <n v="14"/>
    <s v="INDOTECH"/>
    <x v="19"/>
    <x v="0"/>
    <n v="0.02"/>
  </r>
  <r>
    <n v="1109"/>
    <s v="INDOTECH"/>
    <x v="19"/>
    <x v="0"/>
    <n v="0.28000000000000003"/>
  </r>
  <r>
    <n v="2201"/>
    <s v="INDOTECH"/>
    <x v="19"/>
    <x v="0"/>
    <n v="3.33"/>
  </r>
  <r>
    <n v="15"/>
    <s v="JAIBALAJI"/>
    <x v="20"/>
    <x v="1"/>
    <n v="0.22"/>
  </r>
  <r>
    <n v="2202"/>
    <s v="JAIBALAJI-BE"/>
    <x v="20"/>
    <x v="1"/>
    <n v="1.66"/>
  </r>
  <r>
    <n v="16"/>
    <s v="KILBRNNG"/>
    <x v="21"/>
    <x v="0"/>
    <n v="0.66"/>
  </r>
  <r>
    <n v="17"/>
    <s v="KOTAKBANK"/>
    <x v="22"/>
    <x v="2"/>
    <n v="0.02"/>
  </r>
  <r>
    <n v="18"/>
    <s v="KRISHCA"/>
    <x v="23"/>
    <x v="0"/>
    <n v="1.08"/>
  </r>
  <r>
    <n v="1102"/>
    <s v="KRISHCA"/>
    <x v="23"/>
    <x v="0"/>
    <n v="1.86"/>
  </r>
  <r>
    <n v="19"/>
    <s v="LT"/>
    <x v="24"/>
    <x v="2"/>
    <n v="0.37"/>
  </r>
  <r>
    <n v="20"/>
    <s v="LTF"/>
    <x v="25"/>
    <x v="2"/>
    <n v="0.15"/>
  </r>
  <r>
    <n v="2230"/>
    <s v="LTF"/>
    <x v="25"/>
    <x v="2"/>
    <n v="0.1"/>
  </r>
  <r>
    <n v="21"/>
    <s v="MANINFRA"/>
    <x v="26"/>
    <x v="1"/>
    <n v="0"/>
  </r>
  <r>
    <n v="2207"/>
    <s v="MUTHOOTFIN"/>
    <x v="27"/>
    <x v="2"/>
    <n v="0.89"/>
  </r>
  <r>
    <n v="22"/>
    <s v="MUTHOOTMF"/>
    <x v="28"/>
    <x v="0"/>
    <n v="0.24"/>
  </r>
  <r>
    <n v="2223"/>
    <s v="MUTHOOTMF"/>
    <x v="28"/>
    <x v="0"/>
    <n v="0.24"/>
  </r>
  <r>
    <m/>
    <s v="MUFTI"/>
    <x v="29"/>
    <x v="0"/>
    <n v="0.44"/>
  </r>
  <r>
    <n v="23"/>
    <s v="NATCOPHARM"/>
    <x v="30"/>
    <x v="2"/>
    <n v="0.01"/>
  </r>
  <r>
    <m/>
    <s v="OBEROIRLTY"/>
    <x v="31"/>
    <x v="2"/>
    <n v="0.2"/>
  </r>
  <r>
    <n v="24"/>
    <s v="PARACABLES"/>
    <x v="32"/>
    <x v="0"/>
    <n v="0.08"/>
  </r>
  <r>
    <n v="2217"/>
    <s v="PARACABLES"/>
    <x v="32"/>
    <x v="0"/>
    <n v="0.38"/>
  </r>
  <r>
    <n v="25"/>
    <s v="PAUSHAKLTD"/>
    <x v="33"/>
    <x v="0"/>
    <n v="0"/>
  </r>
  <r>
    <n v="2233"/>
    <s v="PAUSHAKLTD"/>
    <x v="33"/>
    <x v="0"/>
    <n v="0.06"/>
  </r>
  <r>
    <n v="2228"/>
    <s v="POKARNA"/>
    <x v="34"/>
    <x v="0"/>
    <n v="0.13"/>
  </r>
  <r>
    <n v="26"/>
    <s v="POLYPLEX"/>
    <x v="35"/>
    <x v="0"/>
    <n v="4.13"/>
  </r>
  <r>
    <m/>
    <s v="POONAWALLA"/>
    <x v="36"/>
    <x v="2"/>
    <n v="0.3"/>
  </r>
  <r>
    <n v="2214"/>
    <s v="POONAWALLA"/>
    <x v="36"/>
    <x v="2"/>
    <n v="0.56999999999999995"/>
  </r>
  <r>
    <n v="2231"/>
    <s v="PRAJIND"/>
    <x v="37"/>
    <x v="1"/>
    <n v="7.0000000000000007E-2"/>
  </r>
  <r>
    <n v="27"/>
    <s v="PRAVEG"/>
    <x v="38"/>
    <x v="0"/>
    <n v="1.04"/>
  </r>
  <r>
    <n v="28"/>
    <s v="PUNJABCHEM"/>
    <x v="39"/>
    <x v="0"/>
    <n v="0.01"/>
  </r>
  <r>
    <n v="2221"/>
    <s v="PUNJABCHEM"/>
    <x v="39"/>
    <x v="0"/>
    <n v="0.28000000000000003"/>
  </r>
  <r>
    <n v="29"/>
    <s v="PVRINOX"/>
    <x v="31"/>
    <x v="1"/>
    <n v="0.01"/>
  </r>
  <r>
    <n v="30"/>
    <s v="PYRAMID"/>
    <x v="40"/>
    <x v="0"/>
    <n v="0.23"/>
  </r>
  <r>
    <n v="2226"/>
    <s v="PYRAMID"/>
    <x v="40"/>
    <x v="0"/>
    <n v="0.18"/>
  </r>
  <r>
    <m/>
    <s v="RATEGAIN"/>
    <x v="41"/>
    <x v="1"/>
    <n v="0.73"/>
  </r>
  <r>
    <n v="31"/>
    <s v="RAJESHEXPO"/>
    <x v="42"/>
    <x v="1"/>
    <n v="2.4700000000000002"/>
  </r>
  <r>
    <n v="32"/>
    <s v="RELIANCE"/>
    <x v="43"/>
    <x v="2"/>
    <n v="0.15"/>
  </r>
  <r>
    <n v="2220"/>
    <s v="RSSOFTWARE-BE"/>
    <x v="44"/>
    <x v="0"/>
    <n v="0.3"/>
  </r>
  <r>
    <n v="2222"/>
    <s v="SAHLIBHFI"/>
    <x v="45"/>
    <x v="0"/>
    <n v="0.26"/>
  </r>
  <r>
    <n v="33"/>
    <s v="SATTRIX"/>
    <x v="46"/>
    <x v="0"/>
    <n v="2.1"/>
  </r>
  <r>
    <n v="2209"/>
    <s v="SBCL"/>
    <x v="47"/>
    <x v="0"/>
    <n v="0.77"/>
  </r>
  <r>
    <n v="34"/>
    <s v="SBCL Shivalik Bimetal"/>
    <x v="47"/>
    <x v="0"/>
    <n v="0.87"/>
  </r>
  <r>
    <n v="35"/>
    <s v="SESHAPAPER"/>
    <x v="48"/>
    <x v="0"/>
    <n v="7.0000000000000007E-2"/>
  </r>
  <r>
    <n v="36"/>
    <s v="SHALIFIN"/>
    <x v="45"/>
    <x v="0"/>
    <n v="0.01"/>
  </r>
  <r>
    <n v="37"/>
    <s v="SMLT"/>
    <x v="49"/>
    <x v="0"/>
    <n v="2.14"/>
  </r>
  <r>
    <n v="38"/>
    <s v="SOFTTECH"/>
    <x v="50"/>
    <x v="0"/>
    <n v="0.19"/>
  </r>
  <r>
    <n v="2219"/>
    <s v="SOFTTECH"/>
    <x v="50"/>
    <x v="0"/>
    <n v="0.35"/>
  </r>
  <r>
    <n v="2234"/>
    <s v="SONACOMS"/>
    <x v="51"/>
    <x v="2"/>
    <n v="0.03"/>
  </r>
  <r>
    <n v="1107"/>
    <s v="STAR HEALTH Insurance"/>
    <x v="52"/>
    <x v="2"/>
    <n v="0.31"/>
  </r>
  <r>
    <n v="2208"/>
    <s v="STARHEALTH"/>
    <x v="52"/>
    <x v="2"/>
    <n v="0.8"/>
  </r>
  <r>
    <n v="1103"/>
    <s v="Staylam"/>
    <x v="53"/>
    <x v="0"/>
    <n v="0.9"/>
  </r>
  <r>
    <n v="39"/>
    <s v="STYLAMIND"/>
    <x v="53"/>
    <x v="0"/>
    <n v="0.08"/>
  </r>
  <r>
    <n v="2229"/>
    <s v="STYLAMIND"/>
    <x v="53"/>
    <x v="0"/>
    <n v="0.12"/>
  </r>
  <r>
    <n v="40"/>
    <s v="SUPREMEPWR"/>
    <x v="54"/>
    <x v="0"/>
    <n v="2.57"/>
  </r>
  <r>
    <n v="41"/>
    <s v="SWELECTES"/>
    <x v="55"/>
    <x v="0"/>
    <n v="7.0000000000000007E-2"/>
  </r>
  <r>
    <n v="42"/>
    <s v="SWSOLAR"/>
    <x v="56"/>
    <x v="1"/>
    <n v="1.71"/>
  </r>
  <r>
    <n v="1112"/>
    <s v="SWSOLAR"/>
    <x v="56"/>
    <x v="1"/>
    <n v="0.21"/>
  </r>
  <r>
    <n v="43"/>
    <s v="TATAELXSI"/>
    <x v="57"/>
    <x v="2"/>
    <n v="0"/>
  </r>
  <r>
    <m/>
    <s v="TATAPOWER"/>
    <x v="58"/>
    <x v="2"/>
    <n v="0.18"/>
  </r>
  <r>
    <n v="44"/>
    <s v="TATAPOWER"/>
    <x v="58"/>
    <x v="2"/>
    <n v="0.21"/>
  </r>
  <r>
    <n v="1105"/>
    <s v="TINNA"/>
    <x v="59"/>
    <x v="0"/>
    <n v="0.49"/>
  </r>
  <r>
    <n v="45"/>
    <s v="TINNARUBR"/>
    <x v="59"/>
    <x v="0"/>
    <n v="0.64"/>
  </r>
  <r>
    <n v="2204"/>
    <s v="TINNARUBR"/>
    <x v="59"/>
    <x v="0"/>
    <n v="1.21"/>
  </r>
  <r>
    <n v="46"/>
    <s v="TIPSINDLTD"/>
    <x v="60"/>
    <x v="1"/>
    <n v="0.14000000000000001"/>
  </r>
  <r>
    <n v="47"/>
    <s v="USHAMART"/>
    <x v="61"/>
    <x v="1"/>
    <n v="0.19"/>
  </r>
  <r>
    <n v="2225"/>
    <s v="USHAMART"/>
    <x v="61"/>
    <x v="1"/>
    <n v="0.19"/>
  </r>
  <r>
    <n v="1111"/>
    <s v="USHAMARTIN"/>
    <x v="61"/>
    <x v="1"/>
    <n v="0.23"/>
  </r>
  <r>
    <n v="48"/>
    <s v="WABAG"/>
    <x v="62"/>
    <x v="1"/>
    <n v="0.75"/>
  </r>
  <r>
    <n v="2211"/>
    <s v="WABAG"/>
    <x v="62"/>
    <x v="1"/>
    <n v="0.67"/>
  </r>
  <r>
    <n v="49"/>
    <s v="WSTCSTPAPR"/>
    <x v="63"/>
    <x v="0"/>
    <n v="0.01"/>
  </r>
  <r>
    <n v="1113"/>
    <s v="ZEN TECH"/>
    <x v="64"/>
    <x v="1"/>
    <n v="0.05"/>
  </r>
  <r>
    <n v="2203"/>
    <s v="ZENTEC"/>
    <x v="64"/>
    <x v="1"/>
    <n v="1.66"/>
  </r>
  <r>
    <n v="2215"/>
    <s v="ZIMLAB"/>
    <x v="65"/>
    <x v="0"/>
    <n v="0.5600000000000000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18A4E6-91F5-4011-A0CD-C84AE8D46C7C}" name="PivotTable2" cacheId="415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7" firstHeaderRow="1" firstDataRow="1" firstDataCol="1" rowPageCount="1" colPageCount="1"/>
  <pivotFields count="5">
    <pivotField showAll="0"/>
    <pivotField showAll="0"/>
    <pivotField axis="axisPage" showAll="0">
      <items count="67">
        <item x="46"/>
        <item x="1"/>
        <item x="49"/>
        <item x="23"/>
        <item x="50"/>
        <item x="45"/>
        <item x="65"/>
        <item x="40"/>
        <item x="44"/>
        <item x="54"/>
        <item x="29"/>
        <item x="16"/>
        <item x="39"/>
        <item x="4"/>
        <item x="21"/>
        <item x="33"/>
        <item x="55"/>
        <item x="38"/>
        <item x="0"/>
        <item x="19"/>
        <item x="34"/>
        <item x="32"/>
        <item x="3"/>
        <item x="12"/>
        <item x="59"/>
        <item x="35"/>
        <item x="53"/>
        <item x="2"/>
        <item x="47"/>
        <item x="63"/>
        <item x="28"/>
        <item x="13"/>
        <item x="14"/>
        <item x="18"/>
        <item x="26"/>
        <item x="60"/>
        <item x="9"/>
        <item x="62"/>
        <item x="42"/>
        <item x="41"/>
        <item x="61"/>
        <item x="7"/>
        <item x="37"/>
        <item x="64"/>
        <item x="11"/>
        <item x="20"/>
        <item x="56"/>
        <item x="5"/>
        <item x="10"/>
        <item x="30"/>
        <item x="36"/>
        <item x="52"/>
        <item x="51"/>
        <item x="48"/>
        <item x="57"/>
        <item x="25"/>
        <item x="17"/>
        <item x="27"/>
        <item x="6"/>
        <item x="8"/>
        <item x="58"/>
        <item x="22"/>
        <item x="24"/>
        <item x="15"/>
        <item x="43"/>
        <item x="31"/>
        <item t="default"/>
      </items>
    </pivotField>
    <pivotField axis="axisRow" showAll="0">
      <items count="4">
        <item x="2"/>
        <item x="1"/>
        <item x="0"/>
        <item t="default"/>
      </items>
    </pivotField>
    <pivotField dataField="1" showAll="0"/>
  </pivotFields>
  <rowFields count="1">
    <field x="3"/>
  </rowFields>
  <rowItems count="4">
    <i>
      <x/>
    </i>
    <i>
      <x v="1"/>
    </i>
    <i>
      <x v="2"/>
    </i>
    <i t="grand">
      <x/>
    </i>
  </rowItems>
  <colItems count="1">
    <i/>
  </colItems>
  <pageFields count="1">
    <pageField fld="2" hier="-1"/>
  </pageFields>
  <dataFields count="1">
    <dataField name="Sum of INVEST" fld="4" baseField="0" baseItem="0"/>
  </dataFields>
  <formats count="6">
    <format dxfId="16">
      <pivotArea type="all" dataOnly="0" outline="0" fieldPosition="0"/>
    </format>
    <format dxfId="17">
      <pivotArea outline="0" collapsedLevelsAreSubtotals="1" fieldPosition="0"/>
    </format>
    <format dxfId="18">
      <pivotArea field="3" type="button" dataOnly="0" labelOnly="1" outline="0" axis="axisRow" fieldPosition="0"/>
    </format>
    <format dxfId="19">
      <pivotArea dataOnly="0" labelOnly="1" fieldPosition="0">
        <references count="1">
          <reference field="3" count="0"/>
        </references>
      </pivotArea>
    </format>
    <format dxfId="20">
      <pivotArea dataOnly="0" labelOnly="1" grandRow="1" outline="0" fieldPosition="0"/>
    </format>
    <format dxfId="2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BC117E2-26CC-4D6C-BB76-D8F17FFC5FD4}" name="Table2" displayName="Table2" ref="A1:G56" totalsRowShown="0" headerRowDxfId="15" dataDxfId="14" headerRowBorderDxfId="12" tableBorderDxfId="13" totalsRowBorderDxfId="11">
  <autoFilter ref="A1:G56" xr:uid="{0BC117E2-26CC-4D6C-BB76-D8F17FFC5FD4}"/>
  <tableColumns count="7">
    <tableColumn id="1" xr3:uid="{3B4BAC5F-C747-40C0-97B7-3B7C7D508BC0}" name="Column1" dataDxfId="10"/>
    <tableColumn id="2" xr3:uid="{FCFC23AC-C70C-4F7F-909F-AB6FF9FF9A36}" name="Five-Star Business Finance Ltd" dataDxfId="9"/>
    <tableColumn id="3" xr3:uid="{14B14D7B-DC0B-4157-B8E4-5922D42D138F}" name="Muthoot Microfin Ltd" dataDxfId="8"/>
    <tableColumn id="4" xr3:uid="{0591738B-71AB-4AA4-B8F2-ECFDC41F1977}" name="Muthoot Finance Ltd" dataDxfId="7"/>
    <tableColumn id="5" xr3:uid="{D426D987-5A3F-433F-BA43-D49D5885A453}" name="Poonawalla Fincorp Ltd" dataDxfId="6"/>
    <tableColumn id="6" xr3:uid="{73300DB1-9F40-4684-B01D-2603693E8231}" name="Shalibhadra Finance Ltd" dataDxfId="5"/>
    <tableColumn id="7" xr3:uid="{C8B3008B-E838-45CF-9963-28907479929B}" name="L&amp;T Finance Ltd" dataDxfId="4"/>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1E5D6BD-0D0C-4FD8-8209-C7E01FB3B625}" name="Table1" displayName="Table1" ref="F1:H6" totalsRowShown="0" tableBorderDxfId="3">
  <autoFilter ref="F1:H6" xr:uid="{D1E5D6BD-0D0C-4FD8-8209-C7E01FB3B625}"/>
  <tableColumns count="3">
    <tableColumn id="1" xr3:uid="{D54CBA7D-304C-4D3C-B1AD-5FD37395E287}" name="ETF" dataDxfId="2"/>
    <tableColumn id="2" xr3:uid="{93E02F87-6D5C-442B-8676-BD3E2890C403}" name="Column1" dataDxfId="1"/>
    <tableColumn id="3" xr3:uid="{BECBDE82-01C9-4346-97CC-5A3776476D83}" name="Column2"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8.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hyperlink" Target="https://www.nseindia.com/get-quotes/equity?symbol=THOMASCOTT" TargetMode="External"/><Relationship Id="rId1" Type="http://schemas.openxmlformats.org/officeDocument/2006/relationships/hyperlink" Target="https://www.nseindia.com/get-quotes/equity?symbol=THOMASCOTT" TargetMode="External"/></Relationships>
</file>

<file path=xl/worksheets/_rels/sheet32.xml.rels><?xml version="1.0" encoding="UTF-8" standalone="yes"?>
<Relationships xmlns="http://schemas.openxmlformats.org/package/2006/relationships"><Relationship Id="rId2" Type="http://schemas.openxmlformats.org/officeDocument/2006/relationships/hyperlink" Target="https://investyadnya.in/stock-o-meter/mahindra-&amp;-mahindra" TargetMode="External"/><Relationship Id="rId1" Type="http://schemas.openxmlformats.org/officeDocument/2006/relationships/hyperlink" Target="https://investyadnya.in/stock-o-meter/macrotech-developers" TargetMode="External"/></Relationships>
</file>

<file path=xl/worksheets/_rels/sheet3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5.xml.rels><?xml version="1.0" encoding="UTF-8" standalone="yes"?>
<Relationships xmlns="http://schemas.openxmlformats.org/package/2006/relationships"><Relationship Id="rId3" Type="http://schemas.openxmlformats.org/officeDocument/2006/relationships/hyperlink" Target="https://investyadnya.in/fund-o-meter/motilal-oswal-nifty-200-momentum-30-etf" TargetMode="External"/><Relationship Id="rId2" Type="http://schemas.openxmlformats.org/officeDocument/2006/relationships/hyperlink" Target="https://investyadnya.in/stock-o-meter/mahindra-&amp;-mahindra" TargetMode="External"/><Relationship Id="rId1" Type="http://schemas.openxmlformats.org/officeDocument/2006/relationships/hyperlink" Target="https://investyadnya.in/stock-o-meter/macrotech-developers" TargetMode="External"/><Relationship Id="rId6" Type="http://schemas.openxmlformats.org/officeDocument/2006/relationships/table" Target="../tables/table2.xml"/><Relationship Id="rId5" Type="http://schemas.openxmlformats.org/officeDocument/2006/relationships/hyperlink" Target="https://investyadnya.in/fund-o-meter/dsp-nifty-midcap-150-quality-50-etf" TargetMode="External"/><Relationship Id="rId4" Type="http://schemas.openxmlformats.org/officeDocument/2006/relationships/hyperlink" Target="https://investyadnya.in/fund-o-meter/motilal-oswal-nasdaq-100-etf" TargetMode="Externa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5.xml.rels><?xml version="1.0" encoding="UTF-8" standalone="yes"?>
<Relationships xmlns="http://schemas.openxmlformats.org/package/2006/relationships"><Relationship Id="rId3" Type="http://schemas.openxmlformats.org/officeDocument/2006/relationships/control" Target="../activeX/activeX1.xml"/><Relationship Id="rId2" Type="http://schemas.openxmlformats.org/officeDocument/2006/relationships/vmlDrawing" Target="../drawings/vmlDrawing1.vml"/><Relationship Id="rId1" Type="http://schemas.openxmlformats.org/officeDocument/2006/relationships/drawing" Target="../drawings/drawing1.xml"/><Relationship Id="rId4" Type="http://schemas.openxmlformats.org/officeDocument/2006/relationships/image" Target="../media/image1.emf"/></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956131-BF0D-480E-941E-5FBED5D62590}">
  <dimension ref="A1:O60"/>
  <sheetViews>
    <sheetView workbookViewId="0">
      <pane ySplit="1" topLeftCell="A2" activePane="bottomLeft" state="frozen"/>
      <selection pane="bottomLeft" activeCell="J10" sqref="J10"/>
    </sheetView>
  </sheetViews>
  <sheetFormatPr defaultRowHeight="14.45"/>
  <cols>
    <col min="1" max="1" width="9" bestFit="1" customWidth="1"/>
    <col min="2" max="2" width="14.28515625" customWidth="1"/>
    <col min="3" max="5" width="9" bestFit="1" customWidth="1"/>
    <col min="6" max="6" width="9.5703125" bestFit="1" customWidth="1"/>
    <col min="7" max="8" width="9" bestFit="1" customWidth="1"/>
    <col min="9" max="9" width="9.5703125" bestFit="1" customWidth="1"/>
    <col min="10" max="11" width="9" bestFit="1" customWidth="1"/>
    <col min="12" max="12" width="13.28515625" customWidth="1"/>
    <col min="13" max="13" width="9" bestFit="1" customWidth="1"/>
    <col min="14" max="14" width="15" customWidth="1"/>
    <col min="15" max="15" width="46.7109375" customWidth="1"/>
  </cols>
  <sheetData>
    <row r="1" spans="1:15" ht="39">
      <c r="A1" s="46" t="s">
        <v>0</v>
      </c>
      <c r="B1" s="46" t="s">
        <v>1</v>
      </c>
      <c r="C1" s="46" t="s">
        <v>2</v>
      </c>
      <c r="D1" s="46" t="s">
        <v>3</v>
      </c>
      <c r="E1" s="46" t="s">
        <v>4</v>
      </c>
      <c r="F1" s="46" t="s">
        <v>5</v>
      </c>
      <c r="G1" s="46" t="s">
        <v>6</v>
      </c>
      <c r="H1" s="46" t="s">
        <v>7</v>
      </c>
      <c r="I1" s="46" t="s">
        <v>8</v>
      </c>
      <c r="J1" s="46" t="s">
        <v>9</v>
      </c>
      <c r="K1" s="46" t="s">
        <v>10</v>
      </c>
      <c r="L1" s="47"/>
      <c r="M1" s="46" t="s">
        <v>11</v>
      </c>
      <c r="N1" s="47"/>
      <c r="O1" s="46" t="s">
        <v>12</v>
      </c>
    </row>
    <row r="2" spans="1:15" ht="24.95">
      <c r="A2" s="38">
        <v>1</v>
      </c>
      <c r="B2" s="41" t="s">
        <v>13</v>
      </c>
      <c r="C2" s="38">
        <v>11258</v>
      </c>
      <c r="D2" s="38">
        <v>46</v>
      </c>
      <c r="E2" s="38">
        <v>7004</v>
      </c>
      <c r="F2" s="38">
        <f t="shared" ref="F2:F60" si="0">D2*E2</f>
        <v>322184</v>
      </c>
      <c r="G2" s="38">
        <v>7941</v>
      </c>
      <c r="H2" s="38">
        <f>D2</f>
        <v>46</v>
      </c>
      <c r="I2" s="38">
        <f t="shared" ref="I2:I10" si="1">G2*H2</f>
        <v>365286</v>
      </c>
      <c r="J2" s="42">
        <f t="shared" ref="J2:J10" si="2">I2/F2-1</f>
        <v>0.13378069674471726</v>
      </c>
      <c r="K2" s="45">
        <f t="shared" ref="K2:K7" si="3">C2*(1+J2)</f>
        <v>12764.103083952026</v>
      </c>
      <c r="L2" s="41" t="s">
        <v>14</v>
      </c>
      <c r="M2" s="38"/>
      <c r="N2" s="41" t="s">
        <v>15</v>
      </c>
      <c r="O2" s="38"/>
    </row>
    <row r="3" spans="1:15" ht="24.95">
      <c r="A3" s="38">
        <v>2</v>
      </c>
      <c r="B3" s="41" t="s">
        <v>13</v>
      </c>
      <c r="C3" s="38">
        <v>11834</v>
      </c>
      <c r="D3" s="38">
        <v>48.4</v>
      </c>
      <c r="E3" s="38">
        <v>7004</v>
      </c>
      <c r="F3" s="38">
        <f t="shared" si="0"/>
        <v>338993.6</v>
      </c>
      <c r="G3" s="38">
        <v>7941</v>
      </c>
      <c r="H3" s="38">
        <v>29.7</v>
      </c>
      <c r="I3" s="38">
        <f t="shared" si="1"/>
        <v>235847.69999999998</v>
      </c>
      <c r="J3" s="42">
        <f t="shared" si="2"/>
        <v>-0.30427093608846889</v>
      </c>
      <c r="K3" s="45">
        <f t="shared" si="3"/>
        <v>8233.2577423290586</v>
      </c>
      <c r="L3" s="41" t="s">
        <v>14</v>
      </c>
      <c r="M3" s="38"/>
      <c r="N3" s="38"/>
      <c r="O3" s="38"/>
    </row>
    <row r="4" spans="1:15">
      <c r="A4" s="38">
        <v>1</v>
      </c>
      <c r="B4" s="41" t="s">
        <v>16</v>
      </c>
      <c r="C4" s="38">
        <v>439</v>
      </c>
      <c r="D4" s="38">
        <v>37.97</v>
      </c>
      <c r="E4" s="38">
        <v>3696</v>
      </c>
      <c r="F4" s="38">
        <f t="shared" si="0"/>
        <v>140337.12</v>
      </c>
      <c r="G4" s="38">
        <v>4130</v>
      </c>
      <c r="H4" s="38">
        <f>D4</f>
        <v>37.97</v>
      </c>
      <c r="I4" s="38">
        <f t="shared" si="1"/>
        <v>156816.1</v>
      </c>
      <c r="J4" s="42">
        <f t="shared" si="2"/>
        <v>0.11742424242424243</v>
      </c>
      <c r="K4" s="45">
        <f t="shared" si="3"/>
        <v>490.54924242424244</v>
      </c>
      <c r="L4" s="41" t="s">
        <v>14</v>
      </c>
      <c r="M4" s="38"/>
      <c r="N4" s="41" t="s">
        <v>15</v>
      </c>
      <c r="O4" s="38"/>
    </row>
    <row r="5" spans="1:15">
      <c r="A5" s="38">
        <v>2</v>
      </c>
      <c r="B5" s="41" t="s">
        <v>16</v>
      </c>
      <c r="C5" s="38">
        <v>439</v>
      </c>
      <c r="D5" s="38">
        <v>37.97</v>
      </c>
      <c r="E5" s="38">
        <v>3696</v>
      </c>
      <c r="F5" s="38">
        <f t="shared" si="0"/>
        <v>140337.12</v>
      </c>
      <c r="G5" s="38">
        <v>4130</v>
      </c>
      <c r="H5" s="38">
        <v>41.6</v>
      </c>
      <c r="I5" s="38">
        <f t="shared" si="1"/>
        <v>171808</v>
      </c>
      <c r="J5" s="42">
        <f t="shared" si="2"/>
        <v>0.22425200118115574</v>
      </c>
      <c r="K5" s="45">
        <f t="shared" si="3"/>
        <v>537.4466285185274</v>
      </c>
      <c r="L5" s="41" t="s">
        <v>14</v>
      </c>
      <c r="M5" s="38"/>
      <c r="N5" s="38"/>
      <c r="O5" s="38"/>
    </row>
    <row r="6" spans="1:15" ht="24.95">
      <c r="A6" s="38">
        <v>1</v>
      </c>
      <c r="B6" s="41" t="s">
        <v>17</v>
      </c>
      <c r="C6" s="38">
        <v>3194</v>
      </c>
      <c r="D6" s="38">
        <v>31</v>
      </c>
      <c r="E6" s="38">
        <v>69621</v>
      </c>
      <c r="F6" s="38">
        <f t="shared" si="0"/>
        <v>2158251</v>
      </c>
      <c r="G6" s="38">
        <v>74247</v>
      </c>
      <c r="H6" s="38">
        <f>D6</f>
        <v>31</v>
      </c>
      <c r="I6" s="38">
        <f t="shared" si="1"/>
        <v>2301657</v>
      </c>
      <c r="J6" s="42">
        <f t="shared" si="2"/>
        <v>6.6445469039513982E-2</v>
      </c>
      <c r="K6" s="45">
        <f t="shared" si="3"/>
        <v>3406.2268281122078</v>
      </c>
      <c r="L6" s="41" t="s">
        <v>14</v>
      </c>
      <c r="M6" s="38"/>
      <c r="N6" s="38"/>
      <c r="O6" s="38"/>
    </row>
    <row r="7" spans="1:15" ht="24.95">
      <c r="A7" s="38">
        <v>1</v>
      </c>
      <c r="B7" s="41" t="s">
        <v>18</v>
      </c>
      <c r="C7" s="38">
        <v>8525</v>
      </c>
      <c r="D7" s="38">
        <v>69.8</v>
      </c>
      <c r="E7" s="38">
        <v>301</v>
      </c>
      <c r="F7" s="38">
        <f t="shared" si="0"/>
        <v>21009.8</v>
      </c>
      <c r="G7" s="38">
        <v>320</v>
      </c>
      <c r="H7" s="38">
        <f>D7</f>
        <v>69.8</v>
      </c>
      <c r="I7" s="38">
        <f t="shared" si="1"/>
        <v>22336</v>
      </c>
      <c r="J7" s="42">
        <f t="shared" si="2"/>
        <v>6.3122923588039948E-2</v>
      </c>
      <c r="K7" s="45">
        <f t="shared" si="3"/>
        <v>9063.1229235880401</v>
      </c>
      <c r="L7" s="38"/>
      <c r="M7" s="38"/>
      <c r="N7" s="38"/>
      <c r="O7" s="38"/>
    </row>
    <row r="8" spans="1:15" ht="24.95">
      <c r="A8" s="38">
        <v>2</v>
      </c>
      <c r="B8" s="41" t="s">
        <v>18</v>
      </c>
      <c r="C8" s="38">
        <v>8525</v>
      </c>
      <c r="D8" s="38">
        <v>69.8</v>
      </c>
      <c r="E8" s="38">
        <v>301</v>
      </c>
      <c r="F8" s="38">
        <f t="shared" si="0"/>
        <v>21009.8</v>
      </c>
      <c r="G8" s="38">
        <v>320</v>
      </c>
      <c r="H8" s="38">
        <f>D8</f>
        <v>69.8</v>
      </c>
      <c r="I8" s="38">
        <f t="shared" si="1"/>
        <v>22336</v>
      </c>
      <c r="J8" s="42">
        <f t="shared" si="2"/>
        <v>6.3122923588039948E-2</v>
      </c>
      <c r="K8" s="45"/>
      <c r="L8" s="38"/>
      <c r="M8" s="38"/>
      <c r="N8" s="38"/>
      <c r="O8" s="38"/>
    </row>
    <row r="9" spans="1:15">
      <c r="A9" s="38">
        <v>1</v>
      </c>
      <c r="B9" s="41" t="s">
        <v>19</v>
      </c>
      <c r="C9" s="38">
        <v>1570</v>
      </c>
      <c r="D9" s="38">
        <v>25.9</v>
      </c>
      <c r="E9" s="38">
        <v>16438</v>
      </c>
      <c r="F9" s="38">
        <f t="shared" si="0"/>
        <v>425744.19999999995</v>
      </c>
      <c r="G9" s="38">
        <v>16772</v>
      </c>
      <c r="H9" s="38">
        <f>D9</f>
        <v>25.9</v>
      </c>
      <c r="I9" s="38">
        <f t="shared" si="1"/>
        <v>434394.8</v>
      </c>
      <c r="J9" s="42">
        <f t="shared" si="2"/>
        <v>2.0318773573427595E-2</v>
      </c>
      <c r="K9" s="45">
        <f>C9*(1+J9)</f>
        <v>1601.9004745102814</v>
      </c>
      <c r="L9" s="38"/>
      <c r="M9" s="38"/>
      <c r="N9" s="41" t="s">
        <v>15</v>
      </c>
      <c r="O9" s="38"/>
    </row>
    <row r="10" spans="1:15">
      <c r="A10" s="38">
        <v>2</v>
      </c>
      <c r="B10" s="41" t="s">
        <v>19</v>
      </c>
      <c r="C10" s="38">
        <v>1570</v>
      </c>
      <c r="D10" s="38">
        <v>25.9</v>
      </c>
      <c r="E10" s="38">
        <v>16438</v>
      </c>
      <c r="F10" s="38">
        <f t="shared" si="0"/>
        <v>425744.19999999995</v>
      </c>
      <c r="G10" s="38">
        <v>16772</v>
      </c>
      <c r="H10" s="38">
        <v>32.6</v>
      </c>
      <c r="I10" s="38">
        <f t="shared" si="1"/>
        <v>546767.20000000007</v>
      </c>
      <c r="J10" s="42">
        <f t="shared" si="2"/>
        <v>0.28426224009628354</v>
      </c>
      <c r="K10" s="45">
        <f>C10*(1+J10)</f>
        <v>2016.2917169511652</v>
      </c>
      <c r="L10" s="38"/>
      <c r="M10" s="38"/>
      <c r="N10" s="38"/>
      <c r="O10" s="38"/>
    </row>
    <row r="11" spans="1:15">
      <c r="A11" s="38">
        <v>1</v>
      </c>
      <c r="B11" s="41" t="s">
        <v>20</v>
      </c>
      <c r="C11" s="38">
        <v>638</v>
      </c>
      <c r="D11" s="38">
        <v>83.9</v>
      </c>
      <c r="E11" s="38">
        <v>1636</v>
      </c>
      <c r="F11" s="38">
        <f t="shared" si="0"/>
        <v>137260.40000000002</v>
      </c>
      <c r="G11" s="41" t="s">
        <v>21</v>
      </c>
      <c r="H11" s="38">
        <f>D11</f>
        <v>83.9</v>
      </c>
      <c r="I11" s="38"/>
      <c r="J11" s="42"/>
      <c r="K11" s="45"/>
      <c r="L11" s="38"/>
      <c r="M11" s="38"/>
      <c r="N11" s="38"/>
      <c r="O11" s="38"/>
    </row>
    <row r="12" spans="1:15">
      <c r="A12" s="38">
        <v>1</v>
      </c>
      <c r="B12" s="41" t="s">
        <v>22</v>
      </c>
      <c r="C12" s="38">
        <v>7064</v>
      </c>
      <c r="D12" s="38">
        <v>30.2</v>
      </c>
      <c r="E12" s="38">
        <v>14451</v>
      </c>
      <c r="F12" s="38">
        <f t="shared" si="0"/>
        <v>436420.2</v>
      </c>
      <c r="G12" s="38">
        <v>17865</v>
      </c>
      <c r="H12" s="38">
        <f>D12</f>
        <v>30.2</v>
      </c>
      <c r="I12" s="38">
        <f t="shared" ref="I12:I60" si="4">G12*H12</f>
        <v>539523</v>
      </c>
      <c r="J12" s="42">
        <f t="shared" ref="J12:J35" si="5">I12/F12-1</f>
        <v>0.2362466265310359</v>
      </c>
      <c r="K12" s="45">
        <f t="shared" ref="K12:K35" si="6">C12*(1+J12)</f>
        <v>8732.8461698152369</v>
      </c>
      <c r="L12" s="38"/>
      <c r="M12" s="38"/>
      <c r="N12" s="41" t="s">
        <v>15</v>
      </c>
      <c r="O12" s="38"/>
    </row>
    <row r="13" spans="1:15">
      <c r="A13" s="38">
        <v>2</v>
      </c>
      <c r="B13" s="41" t="s">
        <v>22</v>
      </c>
      <c r="C13" s="38">
        <v>7064</v>
      </c>
      <c r="D13" s="38">
        <v>30.2</v>
      </c>
      <c r="E13" s="38">
        <v>14451</v>
      </c>
      <c r="F13" s="38">
        <f t="shared" si="0"/>
        <v>436420.2</v>
      </c>
      <c r="G13" s="38">
        <v>17865</v>
      </c>
      <c r="H13" s="38">
        <v>24.6</v>
      </c>
      <c r="I13" s="38">
        <f t="shared" si="4"/>
        <v>439479</v>
      </c>
      <c r="J13" s="42">
        <f t="shared" si="5"/>
        <v>7.0088414789233333E-3</v>
      </c>
      <c r="K13" s="45">
        <f t="shared" si="6"/>
        <v>7113.5104562071147</v>
      </c>
      <c r="L13" s="38"/>
      <c r="M13" s="38"/>
      <c r="N13" s="38"/>
      <c r="O13" s="38"/>
    </row>
    <row r="14" spans="1:15">
      <c r="A14" s="38">
        <v>1</v>
      </c>
      <c r="B14" s="41" t="s">
        <v>23</v>
      </c>
      <c r="C14" s="38">
        <v>4881</v>
      </c>
      <c r="D14" s="38">
        <v>33.4</v>
      </c>
      <c r="E14" s="38">
        <v>4001</v>
      </c>
      <c r="F14" s="38">
        <f t="shared" si="0"/>
        <v>133633.4</v>
      </c>
      <c r="G14" s="38">
        <v>4750</v>
      </c>
      <c r="H14" s="38">
        <f>D14</f>
        <v>33.4</v>
      </c>
      <c r="I14" s="38">
        <f t="shared" si="4"/>
        <v>158650</v>
      </c>
      <c r="J14" s="42">
        <f t="shared" si="5"/>
        <v>0.1872031992001999</v>
      </c>
      <c r="K14" s="45">
        <f t="shared" si="6"/>
        <v>5794.7388152961757</v>
      </c>
      <c r="L14" s="38"/>
      <c r="M14" s="38"/>
      <c r="N14" s="41" t="s">
        <v>15</v>
      </c>
      <c r="O14" s="38"/>
    </row>
    <row r="15" spans="1:15">
      <c r="A15" s="38">
        <v>2</v>
      </c>
      <c r="B15" s="41" t="s">
        <v>23</v>
      </c>
      <c r="C15" s="38">
        <v>4881</v>
      </c>
      <c r="D15" s="38">
        <v>33.4</v>
      </c>
      <c r="E15" s="38">
        <v>4001</v>
      </c>
      <c r="F15" s="38">
        <f t="shared" si="0"/>
        <v>133633.4</v>
      </c>
      <c r="G15" s="38">
        <v>4750</v>
      </c>
      <c r="H15" s="38">
        <v>69</v>
      </c>
      <c r="I15" s="38">
        <f t="shared" si="4"/>
        <v>327750</v>
      </c>
      <c r="J15" s="42">
        <f t="shared" si="5"/>
        <v>1.4526054115213713</v>
      </c>
      <c r="K15" s="45">
        <f t="shared" si="6"/>
        <v>11971.167013635813</v>
      </c>
      <c r="L15" s="38"/>
      <c r="M15" s="38"/>
      <c r="N15" s="38"/>
      <c r="O15" s="38"/>
    </row>
    <row r="16" spans="1:15">
      <c r="A16" s="38">
        <v>1</v>
      </c>
      <c r="B16" s="41" t="s">
        <v>24</v>
      </c>
      <c r="C16" s="38">
        <v>1230</v>
      </c>
      <c r="D16" s="38">
        <v>19.600000000000001</v>
      </c>
      <c r="E16" s="38">
        <v>44256</v>
      </c>
      <c r="F16" s="38">
        <f t="shared" si="0"/>
        <v>867417.60000000009</v>
      </c>
      <c r="G16" s="38">
        <v>45860</v>
      </c>
      <c r="H16" s="38">
        <f>D16</f>
        <v>19.600000000000001</v>
      </c>
      <c r="I16" s="38">
        <f t="shared" si="4"/>
        <v>898856.00000000012</v>
      </c>
      <c r="J16" s="42">
        <f t="shared" si="5"/>
        <v>3.6243673174258806E-2</v>
      </c>
      <c r="K16" s="45">
        <f t="shared" si="6"/>
        <v>1274.5797180043382</v>
      </c>
      <c r="L16" s="38"/>
      <c r="M16" s="38"/>
      <c r="N16" s="38"/>
      <c r="O16" s="38"/>
    </row>
    <row r="17" spans="1:15">
      <c r="A17" s="38">
        <v>2</v>
      </c>
      <c r="B17" s="41" t="s">
        <v>24</v>
      </c>
      <c r="C17" s="38">
        <v>1230</v>
      </c>
      <c r="D17" s="38">
        <v>19.600000000000001</v>
      </c>
      <c r="E17" s="38">
        <v>44256</v>
      </c>
      <c r="F17" s="38">
        <f t="shared" si="0"/>
        <v>867417.60000000009</v>
      </c>
      <c r="G17" s="38">
        <v>45860</v>
      </c>
      <c r="H17" s="38">
        <v>12.6</v>
      </c>
      <c r="I17" s="38">
        <f t="shared" si="4"/>
        <v>577836</v>
      </c>
      <c r="J17" s="42">
        <f t="shared" si="5"/>
        <v>-0.33384335295940504</v>
      </c>
      <c r="K17" s="45">
        <f t="shared" si="6"/>
        <v>819.37267585993186</v>
      </c>
      <c r="L17" s="38"/>
      <c r="M17" s="38"/>
      <c r="N17" s="38"/>
      <c r="O17" s="38"/>
    </row>
    <row r="18" spans="1:15">
      <c r="A18" s="38">
        <v>1</v>
      </c>
      <c r="B18" s="41" t="s">
        <v>25</v>
      </c>
      <c r="C18" s="38">
        <v>3652</v>
      </c>
      <c r="D18" s="38">
        <v>38.9</v>
      </c>
      <c r="E18" s="38">
        <v>13059</v>
      </c>
      <c r="F18" s="38">
        <f t="shared" si="0"/>
        <v>507995.1</v>
      </c>
      <c r="G18" s="38">
        <v>15900</v>
      </c>
      <c r="H18" s="38">
        <f>D18</f>
        <v>38.9</v>
      </c>
      <c r="I18" s="38">
        <f t="shared" si="4"/>
        <v>618510</v>
      </c>
      <c r="J18" s="42">
        <f t="shared" si="5"/>
        <v>0.21755111417413286</v>
      </c>
      <c r="K18" s="45">
        <f t="shared" si="6"/>
        <v>4446.4966689639332</v>
      </c>
      <c r="L18" s="41" t="s">
        <v>14</v>
      </c>
      <c r="M18" s="38">
        <v>0.36</v>
      </c>
      <c r="N18" s="41" t="s">
        <v>15</v>
      </c>
      <c r="O18" s="38"/>
    </row>
    <row r="19" spans="1:15">
      <c r="A19" s="38">
        <v>2</v>
      </c>
      <c r="B19" s="41" t="s">
        <v>25</v>
      </c>
      <c r="C19" s="38">
        <v>3652</v>
      </c>
      <c r="D19" s="38">
        <v>38.9</v>
      </c>
      <c r="E19" s="38">
        <v>13059</v>
      </c>
      <c r="F19" s="38">
        <f t="shared" si="0"/>
        <v>507995.1</v>
      </c>
      <c r="G19" s="38">
        <v>15900</v>
      </c>
      <c r="H19" s="38">
        <v>42.2</v>
      </c>
      <c r="I19" s="38">
        <f t="shared" si="4"/>
        <v>670980</v>
      </c>
      <c r="J19" s="42">
        <f t="shared" si="5"/>
        <v>0.32083951203466343</v>
      </c>
      <c r="K19" s="45">
        <f t="shared" si="6"/>
        <v>4823.705897950591</v>
      </c>
      <c r="L19" s="38"/>
      <c r="M19" s="38"/>
      <c r="N19" s="38"/>
      <c r="O19" s="38"/>
    </row>
    <row r="20" spans="1:15">
      <c r="A20" s="38">
        <v>1</v>
      </c>
      <c r="B20" s="41" t="s">
        <v>26</v>
      </c>
      <c r="C20" s="38">
        <v>6676</v>
      </c>
      <c r="D20" s="38">
        <v>20.2</v>
      </c>
      <c r="E20" s="38">
        <v>5578</v>
      </c>
      <c r="F20" s="38">
        <f t="shared" si="0"/>
        <v>112675.59999999999</v>
      </c>
      <c r="G20" s="38">
        <v>6300</v>
      </c>
      <c r="H20" s="38">
        <f>D20</f>
        <v>20.2</v>
      </c>
      <c r="I20" s="38">
        <f t="shared" si="4"/>
        <v>127260</v>
      </c>
      <c r="J20" s="42">
        <f t="shared" si="5"/>
        <v>0.12943707422015072</v>
      </c>
      <c r="K20" s="45">
        <f t="shared" si="6"/>
        <v>7540.1219074937262</v>
      </c>
      <c r="L20" s="41" t="s">
        <v>14</v>
      </c>
      <c r="M20" s="38">
        <v>0.66</v>
      </c>
      <c r="N20" s="41" t="s">
        <v>15</v>
      </c>
      <c r="O20" s="38"/>
    </row>
    <row r="21" spans="1:15">
      <c r="A21" s="38">
        <v>2</v>
      </c>
      <c r="B21" s="41" t="s">
        <v>26</v>
      </c>
      <c r="C21" s="38">
        <v>6795</v>
      </c>
      <c r="D21" s="38">
        <v>20.32</v>
      </c>
      <c r="E21" s="38">
        <v>5578</v>
      </c>
      <c r="F21" s="38">
        <f t="shared" si="0"/>
        <v>113344.96000000001</v>
      </c>
      <c r="G21" s="38">
        <v>6300</v>
      </c>
      <c r="H21" s="38">
        <v>37</v>
      </c>
      <c r="I21" s="38">
        <f t="shared" si="4"/>
        <v>233100</v>
      </c>
      <c r="J21" s="42">
        <f t="shared" si="5"/>
        <v>1.0565537276646442</v>
      </c>
      <c r="K21" s="45">
        <f t="shared" si="6"/>
        <v>13974.282579481258</v>
      </c>
      <c r="L21" s="38"/>
      <c r="M21" s="38">
        <v>1.07</v>
      </c>
      <c r="N21" s="38"/>
      <c r="O21" s="38"/>
    </row>
    <row r="22" spans="1:15" ht="24.95">
      <c r="A22" s="38">
        <v>1</v>
      </c>
      <c r="B22" s="41" t="s">
        <v>27</v>
      </c>
      <c r="C22" s="38">
        <v>1836</v>
      </c>
      <c r="D22" s="38">
        <v>18.2</v>
      </c>
      <c r="E22" s="38">
        <v>4050</v>
      </c>
      <c r="F22" s="38">
        <f t="shared" si="0"/>
        <v>73710</v>
      </c>
      <c r="G22" s="38">
        <v>4545</v>
      </c>
      <c r="H22" s="38">
        <f>D22</f>
        <v>18.2</v>
      </c>
      <c r="I22" s="38">
        <f t="shared" si="4"/>
        <v>82719</v>
      </c>
      <c r="J22" s="42">
        <f t="shared" si="5"/>
        <v>0.12222222222222223</v>
      </c>
      <c r="K22" s="45">
        <f t="shared" si="6"/>
        <v>2060.4</v>
      </c>
      <c r="L22" s="41" t="s">
        <v>14</v>
      </c>
      <c r="M22" s="38">
        <v>0.92</v>
      </c>
      <c r="N22" s="41" t="s">
        <v>15</v>
      </c>
      <c r="O22" s="38"/>
    </row>
    <row r="23" spans="1:15" ht="24.95">
      <c r="A23" s="38">
        <v>2</v>
      </c>
      <c r="B23" s="41" t="s">
        <v>27</v>
      </c>
      <c r="C23" s="38">
        <v>1836</v>
      </c>
      <c r="D23" s="38">
        <v>18.2</v>
      </c>
      <c r="E23" s="38">
        <v>4050</v>
      </c>
      <c r="F23" s="38">
        <f t="shared" si="0"/>
        <v>73710</v>
      </c>
      <c r="G23" s="38">
        <v>4545</v>
      </c>
      <c r="H23" s="38">
        <v>24.6</v>
      </c>
      <c r="I23" s="38">
        <f t="shared" si="4"/>
        <v>111807</v>
      </c>
      <c r="J23" s="42">
        <f t="shared" si="5"/>
        <v>0.51684981684981679</v>
      </c>
      <c r="K23" s="45">
        <f t="shared" si="6"/>
        <v>2784.9362637362638</v>
      </c>
      <c r="L23" s="38"/>
      <c r="M23" s="38"/>
      <c r="N23" s="41" t="s">
        <v>15</v>
      </c>
      <c r="O23" s="38"/>
    </row>
    <row r="24" spans="1:15" ht="26.1">
      <c r="A24" s="37">
        <v>1</v>
      </c>
      <c r="B24" s="36" t="s">
        <v>28</v>
      </c>
      <c r="C24" s="37">
        <v>248</v>
      </c>
      <c r="D24" s="37">
        <v>9.41</v>
      </c>
      <c r="E24" s="37">
        <v>450</v>
      </c>
      <c r="F24" s="37">
        <f t="shared" si="0"/>
        <v>4234.5</v>
      </c>
      <c r="G24" s="37">
        <v>633</v>
      </c>
      <c r="H24" s="37">
        <f>D24</f>
        <v>9.41</v>
      </c>
      <c r="I24" s="37">
        <f t="shared" si="4"/>
        <v>5956.53</v>
      </c>
      <c r="J24" s="39">
        <f t="shared" si="5"/>
        <v>0.40666666666666651</v>
      </c>
      <c r="K24" s="40">
        <f t="shared" si="6"/>
        <v>348.8533333333333</v>
      </c>
      <c r="L24" s="36" t="s">
        <v>14</v>
      </c>
      <c r="M24" s="37">
        <v>0.24</v>
      </c>
      <c r="N24" s="36" t="s">
        <v>15</v>
      </c>
      <c r="O24" s="38"/>
    </row>
    <row r="25" spans="1:15" ht="26.1">
      <c r="A25" s="37">
        <v>2</v>
      </c>
      <c r="B25" s="36" t="s">
        <v>28</v>
      </c>
      <c r="C25" s="37">
        <v>248</v>
      </c>
      <c r="D25" s="37">
        <v>9.41</v>
      </c>
      <c r="E25" s="37">
        <v>450</v>
      </c>
      <c r="F25" s="37">
        <f t="shared" si="0"/>
        <v>4234.5</v>
      </c>
      <c r="G25" s="37">
        <v>633</v>
      </c>
      <c r="H25" s="37">
        <v>24.6</v>
      </c>
      <c r="I25" s="37">
        <f t="shared" si="4"/>
        <v>15571.800000000001</v>
      </c>
      <c r="J25" s="39">
        <f t="shared" si="5"/>
        <v>2.6773645058448463</v>
      </c>
      <c r="K25" s="40">
        <f t="shared" si="6"/>
        <v>911.98639744952186</v>
      </c>
      <c r="L25" s="36" t="s">
        <v>14</v>
      </c>
      <c r="M25" s="37"/>
      <c r="N25" s="37"/>
      <c r="O25" s="38"/>
    </row>
    <row r="26" spans="1:15" ht="24.95">
      <c r="A26" s="38">
        <v>1</v>
      </c>
      <c r="B26" s="41" t="s">
        <v>29</v>
      </c>
      <c r="C26" s="38">
        <v>3171</v>
      </c>
      <c r="D26" s="38">
        <v>93.27</v>
      </c>
      <c r="E26" s="38">
        <v>1729</v>
      </c>
      <c r="F26" s="38">
        <f t="shared" si="0"/>
        <v>161263.82999999999</v>
      </c>
      <c r="G26" s="38">
        <v>1820</v>
      </c>
      <c r="H26" s="38">
        <f>D26</f>
        <v>93.27</v>
      </c>
      <c r="I26" s="38">
        <f t="shared" si="4"/>
        <v>169751.4</v>
      </c>
      <c r="J26" s="42">
        <f t="shared" si="5"/>
        <v>5.2631578947368363E-2</v>
      </c>
      <c r="K26" s="45">
        <f t="shared" si="6"/>
        <v>3337.894736842105</v>
      </c>
      <c r="L26" s="41" t="s">
        <v>14</v>
      </c>
      <c r="M26" s="38"/>
      <c r="N26" s="38"/>
      <c r="O26" s="38"/>
    </row>
    <row r="27" spans="1:15" ht="24.95">
      <c r="A27" s="38">
        <v>1</v>
      </c>
      <c r="B27" s="41" t="s">
        <v>30</v>
      </c>
      <c r="C27" s="38">
        <v>344</v>
      </c>
      <c r="D27" s="38">
        <v>20.5</v>
      </c>
      <c r="E27" s="38">
        <v>15573</v>
      </c>
      <c r="F27" s="38">
        <f t="shared" si="0"/>
        <v>319246.5</v>
      </c>
      <c r="G27" s="38">
        <v>16641</v>
      </c>
      <c r="H27" s="38">
        <f>D27</f>
        <v>20.5</v>
      </c>
      <c r="I27" s="38">
        <f t="shared" si="4"/>
        <v>341140.5</v>
      </c>
      <c r="J27" s="42">
        <f t="shared" si="5"/>
        <v>6.8580235022153824E-2</v>
      </c>
      <c r="K27" s="45">
        <f t="shared" si="6"/>
        <v>367.5916008476209</v>
      </c>
      <c r="L27" s="41" t="s">
        <v>14</v>
      </c>
      <c r="M27" s="38"/>
      <c r="N27" s="41" t="s">
        <v>15</v>
      </c>
      <c r="O27" s="38"/>
    </row>
    <row r="28" spans="1:15" ht="24.95">
      <c r="A28" s="38">
        <v>1</v>
      </c>
      <c r="B28" s="41" t="s">
        <v>31</v>
      </c>
      <c r="C28" s="38">
        <v>6668</v>
      </c>
      <c r="D28" s="38">
        <v>56.13</v>
      </c>
      <c r="E28" s="38">
        <v>1784</v>
      </c>
      <c r="F28" s="38">
        <f t="shared" si="0"/>
        <v>100135.92</v>
      </c>
      <c r="G28" s="38">
        <v>2272</v>
      </c>
      <c r="H28" s="38">
        <f>D28</f>
        <v>56.13</v>
      </c>
      <c r="I28" s="38">
        <f t="shared" si="4"/>
        <v>127527.36</v>
      </c>
      <c r="J28" s="42">
        <f t="shared" si="5"/>
        <v>0.27354260089686111</v>
      </c>
      <c r="K28" s="45">
        <f t="shared" si="6"/>
        <v>8491.9820627802692</v>
      </c>
      <c r="L28" s="41" t="s">
        <v>14</v>
      </c>
      <c r="M28" s="38"/>
      <c r="N28" s="38"/>
      <c r="O28" s="38"/>
    </row>
    <row r="29" spans="1:15" ht="24.95">
      <c r="A29" s="38">
        <v>2</v>
      </c>
      <c r="B29" s="41" t="s">
        <v>31</v>
      </c>
      <c r="C29" s="38">
        <v>6668</v>
      </c>
      <c r="D29" s="38">
        <v>56.13</v>
      </c>
      <c r="E29" s="38">
        <v>1784</v>
      </c>
      <c r="F29" s="38">
        <f t="shared" si="0"/>
        <v>100135.92</v>
      </c>
      <c r="G29" s="38">
        <v>2272</v>
      </c>
      <c r="H29" s="38">
        <v>43</v>
      </c>
      <c r="I29" s="38">
        <f t="shared" si="4"/>
        <v>97696</v>
      </c>
      <c r="J29" s="42">
        <f t="shared" si="5"/>
        <v>-2.4366081621859603E-2</v>
      </c>
      <c r="K29" s="45">
        <f t="shared" si="6"/>
        <v>6505.5269677454398</v>
      </c>
      <c r="L29" s="41" t="s">
        <v>14</v>
      </c>
      <c r="M29" s="38"/>
      <c r="N29" s="38"/>
      <c r="O29" s="38"/>
    </row>
    <row r="30" spans="1:15" ht="24.95">
      <c r="A30" s="38">
        <v>1</v>
      </c>
      <c r="B30" s="41" t="s">
        <v>32</v>
      </c>
      <c r="C30" s="38">
        <v>78.2</v>
      </c>
      <c r="D30" s="38">
        <v>18.8</v>
      </c>
      <c r="E30" s="38">
        <v>2942</v>
      </c>
      <c r="F30" s="38">
        <f t="shared" si="0"/>
        <v>55309.599999999999</v>
      </c>
      <c r="G30" s="38">
        <v>3900</v>
      </c>
      <c r="H30" s="38">
        <f>D30</f>
        <v>18.8</v>
      </c>
      <c r="I30" s="38">
        <f t="shared" si="4"/>
        <v>73320</v>
      </c>
      <c r="J30" s="42">
        <f t="shared" si="5"/>
        <v>0.32562882392929993</v>
      </c>
      <c r="K30" s="45">
        <f t="shared" si="6"/>
        <v>103.66417403127126</v>
      </c>
      <c r="L30" s="41" t="s">
        <v>14</v>
      </c>
      <c r="M30" s="38"/>
      <c r="N30" s="41" t="s">
        <v>15</v>
      </c>
      <c r="O30" s="38"/>
    </row>
    <row r="31" spans="1:15" ht="24.95">
      <c r="A31" s="38">
        <v>2</v>
      </c>
      <c r="B31" s="41" t="s">
        <v>32</v>
      </c>
      <c r="C31" s="38">
        <v>78.2</v>
      </c>
      <c r="D31" s="38">
        <v>18.8</v>
      </c>
      <c r="E31" s="38">
        <v>2942</v>
      </c>
      <c r="F31" s="38">
        <f t="shared" si="0"/>
        <v>55309.599999999999</v>
      </c>
      <c r="G31" s="38">
        <v>3900</v>
      </c>
      <c r="H31" s="38">
        <v>12.6</v>
      </c>
      <c r="I31" s="38">
        <f t="shared" si="4"/>
        <v>49140</v>
      </c>
      <c r="J31" s="42">
        <f t="shared" si="5"/>
        <v>-0.11154663928142672</v>
      </c>
      <c r="K31" s="45">
        <f t="shared" si="6"/>
        <v>69.47705280819244</v>
      </c>
      <c r="L31" s="41" t="s">
        <v>14</v>
      </c>
      <c r="M31" s="38"/>
      <c r="N31" s="41" t="s">
        <v>15</v>
      </c>
      <c r="O31" s="38"/>
    </row>
    <row r="32" spans="1:15">
      <c r="A32" s="38">
        <v>1</v>
      </c>
      <c r="B32" s="41" t="s">
        <v>33</v>
      </c>
      <c r="C32" s="38">
        <v>2731</v>
      </c>
      <c r="D32" s="38">
        <v>30</v>
      </c>
      <c r="E32" s="38">
        <v>11269</v>
      </c>
      <c r="F32" s="38">
        <f t="shared" si="0"/>
        <v>338070</v>
      </c>
      <c r="G32" s="38">
        <v>13907</v>
      </c>
      <c r="H32" s="38">
        <f>D32</f>
        <v>30</v>
      </c>
      <c r="I32" s="38">
        <f t="shared" si="4"/>
        <v>417210</v>
      </c>
      <c r="J32" s="42">
        <f t="shared" si="5"/>
        <v>0.23409353092554785</v>
      </c>
      <c r="K32" s="45">
        <f t="shared" si="6"/>
        <v>3370.3094329576711</v>
      </c>
      <c r="L32" s="41" t="s">
        <v>14</v>
      </c>
      <c r="M32" s="38"/>
      <c r="N32" s="41" t="s">
        <v>15</v>
      </c>
      <c r="O32" s="38"/>
    </row>
    <row r="33" spans="1:15">
      <c r="A33" s="38">
        <v>2</v>
      </c>
      <c r="B33" s="41" t="s">
        <v>33</v>
      </c>
      <c r="C33" s="38">
        <v>2731</v>
      </c>
      <c r="D33" s="38">
        <v>30</v>
      </c>
      <c r="E33" s="38">
        <v>11269</v>
      </c>
      <c r="F33" s="38">
        <f t="shared" si="0"/>
        <v>338070</v>
      </c>
      <c r="G33" s="38">
        <v>13907</v>
      </c>
      <c r="H33" s="38">
        <f>D33</f>
        <v>30</v>
      </c>
      <c r="I33" s="38">
        <f t="shared" si="4"/>
        <v>417210</v>
      </c>
      <c r="J33" s="42">
        <f t="shared" si="5"/>
        <v>0.23409353092554785</v>
      </c>
      <c r="K33" s="45">
        <f t="shared" si="6"/>
        <v>3370.3094329576711</v>
      </c>
      <c r="L33" s="41" t="s">
        <v>14</v>
      </c>
      <c r="M33" s="38"/>
      <c r="N33" s="41" t="s">
        <v>15</v>
      </c>
      <c r="O33" s="38"/>
    </row>
    <row r="34" spans="1:15" ht="83.1" customHeight="1">
      <c r="A34" s="38">
        <v>1</v>
      </c>
      <c r="B34" s="41" t="s">
        <v>34</v>
      </c>
      <c r="C34" s="38">
        <v>183</v>
      </c>
      <c r="D34" s="38">
        <v>19.600000000000001</v>
      </c>
      <c r="E34" s="38">
        <v>2317</v>
      </c>
      <c r="F34" s="38">
        <f t="shared" si="0"/>
        <v>45413.200000000004</v>
      </c>
      <c r="G34" s="38">
        <v>2690</v>
      </c>
      <c r="H34" s="38">
        <f>D34</f>
        <v>19.600000000000001</v>
      </c>
      <c r="I34" s="38">
        <f t="shared" si="4"/>
        <v>52724.000000000007</v>
      </c>
      <c r="J34" s="42">
        <f t="shared" si="5"/>
        <v>0.16098403107466552</v>
      </c>
      <c r="K34" s="45">
        <f t="shared" si="6"/>
        <v>212.46007768666379</v>
      </c>
      <c r="L34" s="41" t="s">
        <v>14</v>
      </c>
      <c r="M34" s="38">
        <v>0.16</v>
      </c>
      <c r="N34" s="41" t="s">
        <v>35</v>
      </c>
      <c r="O34" s="41" t="s">
        <v>36</v>
      </c>
    </row>
    <row r="35" spans="1:15">
      <c r="A35" s="38">
        <v>2</v>
      </c>
      <c r="B35" s="41" t="s">
        <v>34</v>
      </c>
      <c r="C35" s="38">
        <v>183</v>
      </c>
      <c r="D35" s="38">
        <v>19.600000000000001</v>
      </c>
      <c r="E35" s="38">
        <v>2317</v>
      </c>
      <c r="F35" s="38">
        <f t="shared" si="0"/>
        <v>45413.200000000004</v>
      </c>
      <c r="G35" s="38">
        <v>2447</v>
      </c>
      <c r="H35" s="38">
        <v>24.6</v>
      </c>
      <c r="I35" s="38">
        <f t="shared" si="4"/>
        <v>60196.200000000004</v>
      </c>
      <c r="J35" s="42">
        <f t="shared" si="5"/>
        <v>0.32552209489751882</v>
      </c>
      <c r="K35" s="45">
        <f t="shared" si="6"/>
        <v>242.57054336624594</v>
      </c>
      <c r="L35" s="41" t="s">
        <v>14</v>
      </c>
      <c r="M35" s="38"/>
      <c r="N35" s="38"/>
      <c r="O35" s="38"/>
    </row>
    <row r="36" spans="1:15">
      <c r="A36" s="38">
        <v>1</v>
      </c>
      <c r="B36" s="44" t="s">
        <v>37</v>
      </c>
      <c r="C36" s="38"/>
      <c r="D36" s="38"/>
      <c r="E36" s="38"/>
      <c r="F36" s="38">
        <f t="shared" si="0"/>
        <v>0</v>
      </c>
      <c r="G36" s="38"/>
      <c r="H36" s="38"/>
      <c r="I36" s="38">
        <f t="shared" si="4"/>
        <v>0</v>
      </c>
      <c r="J36" s="43"/>
      <c r="K36" s="45"/>
      <c r="L36" s="38"/>
      <c r="M36" s="38"/>
      <c r="N36" s="41" t="s">
        <v>15</v>
      </c>
      <c r="O36" s="38"/>
    </row>
    <row r="37" spans="1:15">
      <c r="A37" s="38">
        <v>2</v>
      </c>
      <c r="B37" s="44" t="s">
        <v>37</v>
      </c>
      <c r="C37" s="38"/>
      <c r="D37" s="38"/>
      <c r="E37" s="38"/>
      <c r="F37" s="38">
        <f t="shared" si="0"/>
        <v>0</v>
      </c>
      <c r="G37" s="38"/>
      <c r="H37" s="38"/>
      <c r="I37" s="38">
        <f t="shared" si="4"/>
        <v>0</v>
      </c>
      <c r="J37" s="43"/>
      <c r="K37" s="45"/>
      <c r="L37" s="38"/>
      <c r="M37" s="38"/>
      <c r="N37" s="41" t="s">
        <v>15</v>
      </c>
      <c r="O37" s="38"/>
    </row>
    <row r="38" spans="1:15">
      <c r="A38" s="38">
        <v>1</v>
      </c>
      <c r="B38" s="41" t="s">
        <v>38</v>
      </c>
      <c r="C38" s="38"/>
      <c r="D38" s="38"/>
      <c r="E38" s="38"/>
      <c r="F38" s="38">
        <f t="shared" si="0"/>
        <v>0</v>
      </c>
      <c r="G38" s="38"/>
      <c r="H38" s="38"/>
      <c r="I38" s="38">
        <f t="shared" si="4"/>
        <v>0</v>
      </c>
      <c r="J38" s="43"/>
      <c r="K38" s="45"/>
      <c r="L38" s="38"/>
      <c r="M38" s="38"/>
      <c r="N38" s="38"/>
      <c r="O38" s="38"/>
    </row>
    <row r="39" spans="1:15">
      <c r="A39" s="38">
        <v>2</v>
      </c>
      <c r="B39" s="41" t="s">
        <v>38</v>
      </c>
      <c r="C39" s="38"/>
      <c r="D39" s="38"/>
      <c r="E39" s="38"/>
      <c r="F39" s="38">
        <f t="shared" si="0"/>
        <v>0</v>
      </c>
      <c r="G39" s="38"/>
      <c r="H39" s="38"/>
      <c r="I39" s="38">
        <f t="shared" si="4"/>
        <v>0</v>
      </c>
      <c r="J39" s="43"/>
      <c r="K39" s="45"/>
      <c r="L39" s="38"/>
      <c r="M39" s="38"/>
      <c r="N39" s="38"/>
      <c r="O39" s="38"/>
    </row>
    <row r="40" spans="1:15">
      <c r="A40" s="38">
        <v>1</v>
      </c>
      <c r="B40" s="41" t="s">
        <v>39</v>
      </c>
      <c r="C40" s="38"/>
      <c r="D40" s="38"/>
      <c r="E40" s="38"/>
      <c r="F40" s="38">
        <f t="shared" si="0"/>
        <v>0</v>
      </c>
      <c r="G40" s="38"/>
      <c r="H40" s="38"/>
      <c r="I40" s="38">
        <f t="shared" si="4"/>
        <v>0</v>
      </c>
      <c r="J40" s="43"/>
      <c r="K40" s="45"/>
      <c r="L40" s="38"/>
      <c r="M40" s="38"/>
      <c r="N40" s="38"/>
      <c r="O40" s="38"/>
    </row>
    <row r="41" spans="1:15">
      <c r="A41" s="38">
        <v>2</v>
      </c>
      <c r="B41" s="41" t="s">
        <v>39</v>
      </c>
      <c r="C41" s="38"/>
      <c r="D41" s="38"/>
      <c r="E41" s="38"/>
      <c r="F41" s="38">
        <f t="shared" si="0"/>
        <v>0</v>
      </c>
      <c r="G41" s="38"/>
      <c r="H41" s="38"/>
      <c r="I41" s="38">
        <f t="shared" si="4"/>
        <v>0</v>
      </c>
      <c r="J41" s="43"/>
      <c r="K41" s="45"/>
      <c r="L41" s="38"/>
      <c r="M41" s="38"/>
      <c r="N41" s="38"/>
      <c r="O41" s="38"/>
    </row>
    <row r="42" spans="1:15" ht="24.95">
      <c r="A42" s="38">
        <v>1</v>
      </c>
      <c r="B42" s="41" t="s">
        <v>40</v>
      </c>
      <c r="C42" s="38"/>
      <c r="D42" s="38"/>
      <c r="E42" s="38"/>
      <c r="F42" s="38">
        <f t="shared" si="0"/>
        <v>0</v>
      </c>
      <c r="G42" s="38"/>
      <c r="H42" s="38"/>
      <c r="I42" s="38">
        <f t="shared" si="4"/>
        <v>0</v>
      </c>
      <c r="J42" s="43"/>
      <c r="K42" s="45"/>
      <c r="L42" s="38"/>
      <c r="M42" s="38"/>
      <c r="N42" s="38"/>
      <c r="O42" s="38"/>
    </row>
    <row r="43" spans="1:15">
      <c r="A43" s="38">
        <v>2</v>
      </c>
      <c r="B43" s="41" t="s">
        <v>41</v>
      </c>
      <c r="C43" s="38"/>
      <c r="D43" s="38"/>
      <c r="E43" s="38"/>
      <c r="F43" s="38">
        <f t="shared" si="0"/>
        <v>0</v>
      </c>
      <c r="G43" s="38"/>
      <c r="H43" s="38"/>
      <c r="I43" s="38">
        <f t="shared" si="4"/>
        <v>0</v>
      </c>
      <c r="J43" s="43"/>
      <c r="K43" s="45"/>
      <c r="L43" s="38"/>
      <c r="M43" s="38"/>
      <c r="N43" s="38"/>
      <c r="O43" s="38"/>
    </row>
    <row r="44" spans="1:15">
      <c r="A44" s="38">
        <v>1</v>
      </c>
      <c r="B44" s="41" t="s">
        <v>42</v>
      </c>
      <c r="C44" s="38"/>
      <c r="D44" s="38"/>
      <c r="E44" s="38"/>
      <c r="F44" s="38">
        <f t="shared" si="0"/>
        <v>0</v>
      </c>
      <c r="G44" s="38"/>
      <c r="H44" s="38"/>
      <c r="I44" s="38">
        <f t="shared" si="4"/>
        <v>0</v>
      </c>
      <c r="J44" s="43"/>
      <c r="K44" s="45"/>
      <c r="L44" s="38"/>
      <c r="M44" s="38"/>
      <c r="N44" s="38"/>
      <c r="O44" s="38"/>
    </row>
    <row r="45" spans="1:15">
      <c r="A45" s="38">
        <v>2</v>
      </c>
      <c r="B45" s="41" t="s">
        <v>42</v>
      </c>
      <c r="C45" s="38"/>
      <c r="D45" s="38"/>
      <c r="E45" s="38"/>
      <c r="F45" s="38">
        <f t="shared" si="0"/>
        <v>0</v>
      </c>
      <c r="G45" s="38"/>
      <c r="H45" s="38"/>
      <c r="I45" s="38">
        <f t="shared" si="4"/>
        <v>0</v>
      </c>
      <c r="J45" s="43"/>
      <c r="K45" s="45"/>
      <c r="L45" s="38"/>
      <c r="M45" s="38"/>
      <c r="N45" s="38"/>
      <c r="O45" s="38"/>
    </row>
    <row r="46" spans="1:15" ht="24.95">
      <c r="A46" s="38">
        <v>1</v>
      </c>
      <c r="B46" s="44" t="s">
        <v>43</v>
      </c>
      <c r="C46" s="38"/>
      <c r="D46" s="38"/>
      <c r="E46" s="38"/>
      <c r="F46" s="38">
        <f t="shared" si="0"/>
        <v>0</v>
      </c>
      <c r="G46" s="38"/>
      <c r="H46" s="38"/>
      <c r="I46" s="38">
        <f t="shared" si="4"/>
        <v>0</v>
      </c>
      <c r="J46" s="43"/>
      <c r="K46" s="45"/>
      <c r="L46" s="38"/>
      <c r="M46" s="38"/>
      <c r="N46" s="38"/>
      <c r="O46" s="38"/>
    </row>
    <row r="47" spans="1:15" ht="37.5">
      <c r="A47" s="38">
        <v>1</v>
      </c>
      <c r="B47" s="44" t="s">
        <v>44</v>
      </c>
      <c r="C47" s="38"/>
      <c r="D47" s="38"/>
      <c r="E47" s="38"/>
      <c r="F47" s="38">
        <f t="shared" si="0"/>
        <v>0</v>
      </c>
      <c r="G47" s="38"/>
      <c r="H47" s="38"/>
      <c r="I47" s="38">
        <f t="shared" si="4"/>
        <v>0</v>
      </c>
      <c r="J47" s="43"/>
      <c r="K47" s="45"/>
      <c r="L47" s="38"/>
      <c r="M47" s="38"/>
      <c r="N47" s="38"/>
      <c r="O47" s="38"/>
    </row>
    <row r="48" spans="1:15" ht="24.95">
      <c r="A48" s="38">
        <v>1</v>
      </c>
      <c r="B48" s="41" t="s">
        <v>45</v>
      </c>
      <c r="C48" s="38"/>
      <c r="D48" s="38"/>
      <c r="E48" s="38"/>
      <c r="F48" s="38">
        <f t="shared" si="0"/>
        <v>0</v>
      </c>
      <c r="G48" s="38"/>
      <c r="H48" s="38"/>
      <c r="I48" s="38">
        <f t="shared" si="4"/>
        <v>0</v>
      </c>
      <c r="J48" s="43"/>
      <c r="K48" s="45"/>
      <c r="L48" s="38"/>
      <c r="M48" s="38"/>
      <c r="N48" s="38"/>
      <c r="O48" s="38"/>
    </row>
    <row r="49" spans="1:15">
      <c r="A49" s="38">
        <v>1</v>
      </c>
      <c r="B49" s="41" t="s">
        <v>46</v>
      </c>
      <c r="C49" s="38">
        <v>557</v>
      </c>
      <c r="D49" s="38">
        <v>40</v>
      </c>
      <c r="E49" s="38">
        <v>845</v>
      </c>
      <c r="F49" s="38">
        <f t="shared" si="0"/>
        <v>33800</v>
      </c>
      <c r="G49" s="38">
        <v>1000</v>
      </c>
      <c r="H49" s="38">
        <f>D49</f>
        <v>40</v>
      </c>
      <c r="I49" s="38">
        <f t="shared" si="4"/>
        <v>40000</v>
      </c>
      <c r="J49" s="42">
        <f t="shared" ref="J49:J57" si="7">I49/F49-1</f>
        <v>0.18343195266272194</v>
      </c>
      <c r="K49" s="45">
        <f t="shared" ref="K49:K57" si="8">C49*(1+J49)</f>
        <v>659.17159763313612</v>
      </c>
      <c r="L49" s="41" t="s">
        <v>47</v>
      </c>
      <c r="M49" s="38">
        <f>0.31</f>
        <v>0.31</v>
      </c>
      <c r="N49" s="41" t="s">
        <v>35</v>
      </c>
      <c r="O49" s="38"/>
    </row>
    <row r="50" spans="1:15" ht="24.95">
      <c r="A50" s="38">
        <v>2</v>
      </c>
      <c r="B50" s="41" t="s">
        <v>46</v>
      </c>
      <c r="C50" s="38">
        <v>557</v>
      </c>
      <c r="D50" s="38">
        <v>40</v>
      </c>
      <c r="E50" s="38">
        <v>845</v>
      </c>
      <c r="F50" s="38">
        <f t="shared" si="0"/>
        <v>33800</v>
      </c>
      <c r="G50" s="38">
        <v>1000</v>
      </c>
      <c r="H50" s="38">
        <v>48</v>
      </c>
      <c r="I50" s="38">
        <f t="shared" si="4"/>
        <v>48000</v>
      </c>
      <c r="J50" s="42">
        <f t="shared" si="7"/>
        <v>0.4201183431952662</v>
      </c>
      <c r="K50" s="45">
        <f t="shared" si="8"/>
        <v>791.00591715976327</v>
      </c>
      <c r="L50" s="41" t="s">
        <v>48</v>
      </c>
      <c r="M50" s="38">
        <v>0.76</v>
      </c>
      <c r="N50" s="38"/>
      <c r="O50" s="38"/>
    </row>
    <row r="51" spans="1:15" ht="24.95">
      <c r="A51" s="38">
        <v>1</v>
      </c>
      <c r="B51" s="41" t="s">
        <v>49</v>
      </c>
      <c r="C51" s="38">
        <v>786</v>
      </c>
      <c r="D51" s="38">
        <v>27.9</v>
      </c>
      <c r="E51" s="38">
        <v>836</v>
      </c>
      <c r="F51" s="38">
        <f t="shared" si="0"/>
        <v>23324.399999999998</v>
      </c>
      <c r="G51" s="38">
        <v>1100</v>
      </c>
      <c r="H51" s="38">
        <f>D51</f>
        <v>27.9</v>
      </c>
      <c r="I51" s="38">
        <f t="shared" si="4"/>
        <v>30690</v>
      </c>
      <c r="J51" s="42">
        <f t="shared" si="7"/>
        <v>0.31578947368421062</v>
      </c>
      <c r="K51" s="45">
        <f t="shared" si="8"/>
        <v>1034.2105263157896</v>
      </c>
      <c r="L51" s="41" t="s">
        <v>14</v>
      </c>
      <c r="M51" s="38">
        <v>0.49</v>
      </c>
      <c r="N51" s="41" t="s">
        <v>35</v>
      </c>
      <c r="O51" s="41" t="s">
        <v>50</v>
      </c>
    </row>
    <row r="52" spans="1:15" ht="90.75" customHeight="1">
      <c r="A52" s="38">
        <v>2</v>
      </c>
      <c r="B52" s="41" t="s">
        <v>49</v>
      </c>
      <c r="C52" s="38">
        <v>786</v>
      </c>
      <c r="D52" s="38">
        <v>27.9</v>
      </c>
      <c r="E52" s="38">
        <v>836</v>
      </c>
      <c r="F52" s="38">
        <f t="shared" si="0"/>
        <v>23324.399999999998</v>
      </c>
      <c r="G52" s="38">
        <v>1100</v>
      </c>
      <c r="H52" s="38">
        <v>23.8</v>
      </c>
      <c r="I52" s="38">
        <f t="shared" si="4"/>
        <v>26180</v>
      </c>
      <c r="J52" s="42">
        <f t="shared" si="7"/>
        <v>0.12242973023957759</v>
      </c>
      <c r="K52" s="45">
        <f t="shared" si="8"/>
        <v>882.22976796830801</v>
      </c>
      <c r="L52" s="41" t="s">
        <v>14</v>
      </c>
      <c r="M52" s="38">
        <v>0.78</v>
      </c>
      <c r="N52" s="41" t="s">
        <v>51</v>
      </c>
      <c r="O52" s="41" t="s">
        <v>52</v>
      </c>
    </row>
    <row r="53" spans="1:15">
      <c r="A53" s="38">
        <v>1</v>
      </c>
      <c r="B53" s="41" t="s">
        <v>53</v>
      </c>
      <c r="C53" s="38">
        <v>538</v>
      </c>
      <c r="D53" s="38">
        <v>126</v>
      </c>
      <c r="E53" s="38">
        <v>28</v>
      </c>
      <c r="F53" s="38">
        <f t="shared" si="0"/>
        <v>3528</v>
      </c>
      <c r="G53" s="38">
        <v>50</v>
      </c>
      <c r="H53" s="38">
        <f>D53</f>
        <v>126</v>
      </c>
      <c r="I53" s="38">
        <f t="shared" si="4"/>
        <v>6300</v>
      </c>
      <c r="J53" s="42">
        <f t="shared" si="7"/>
        <v>0.78571428571428581</v>
      </c>
      <c r="K53" s="45">
        <f t="shared" si="8"/>
        <v>960.71428571428578</v>
      </c>
      <c r="L53" s="38"/>
      <c r="M53" s="38">
        <v>0.24</v>
      </c>
      <c r="N53" s="41" t="s">
        <v>35</v>
      </c>
      <c r="O53" s="38"/>
    </row>
    <row r="54" spans="1:15">
      <c r="A54" s="38">
        <v>2</v>
      </c>
      <c r="B54" s="41" t="s">
        <v>53</v>
      </c>
      <c r="C54" s="38">
        <v>538</v>
      </c>
      <c r="D54" s="38">
        <v>126</v>
      </c>
      <c r="E54" s="38">
        <v>28</v>
      </c>
      <c r="F54" s="38">
        <f t="shared" si="0"/>
        <v>3528</v>
      </c>
      <c r="G54" s="38">
        <v>50</v>
      </c>
      <c r="H54" s="38">
        <v>96.3</v>
      </c>
      <c r="I54" s="38">
        <f t="shared" si="4"/>
        <v>4815</v>
      </c>
      <c r="J54" s="42">
        <f t="shared" si="7"/>
        <v>0.36479591836734704</v>
      </c>
      <c r="K54" s="45">
        <f t="shared" si="8"/>
        <v>734.26020408163265</v>
      </c>
      <c r="L54" s="38"/>
      <c r="M54" s="38">
        <v>0.56999999999999995</v>
      </c>
      <c r="N54" s="38"/>
      <c r="O54" s="38"/>
    </row>
    <row r="55" spans="1:15">
      <c r="A55" s="38">
        <v>1</v>
      </c>
      <c r="B55" s="41" t="s">
        <v>54</v>
      </c>
      <c r="C55" s="38">
        <v>361</v>
      </c>
      <c r="D55" s="38">
        <v>69.900000000000006</v>
      </c>
      <c r="E55" s="38">
        <v>135</v>
      </c>
      <c r="F55" s="38">
        <f t="shared" si="0"/>
        <v>9436.5</v>
      </c>
      <c r="G55" s="38">
        <v>150</v>
      </c>
      <c r="H55" s="38">
        <f>D55</f>
        <v>69.900000000000006</v>
      </c>
      <c r="I55" s="38">
        <f t="shared" si="4"/>
        <v>10485</v>
      </c>
      <c r="J55" s="42">
        <f t="shared" si="7"/>
        <v>0.11111111111111116</v>
      </c>
      <c r="K55" s="45">
        <f t="shared" si="8"/>
        <v>401.11111111111114</v>
      </c>
      <c r="L55" s="41" t="s">
        <v>47</v>
      </c>
      <c r="M55" s="38">
        <v>0.28000000000000003</v>
      </c>
      <c r="N55" s="41" t="s">
        <v>15</v>
      </c>
      <c r="O55" s="38"/>
    </row>
    <row r="56" spans="1:15" ht="24.95">
      <c r="A56" s="38">
        <v>2</v>
      </c>
      <c r="B56" s="41" t="s">
        <v>54</v>
      </c>
      <c r="C56" s="38">
        <v>391</v>
      </c>
      <c r="D56" s="38">
        <v>69.900000000000006</v>
      </c>
      <c r="E56" s="38">
        <v>135</v>
      </c>
      <c r="F56" s="38">
        <f t="shared" si="0"/>
        <v>9436.5</v>
      </c>
      <c r="G56" s="38">
        <v>150</v>
      </c>
      <c r="H56" s="38">
        <v>96.3</v>
      </c>
      <c r="I56" s="38">
        <f t="shared" si="4"/>
        <v>14445</v>
      </c>
      <c r="J56" s="42">
        <f t="shared" si="7"/>
        <v>0.53075822603719591</v>
      </c>
      <c r="K56" s="45">
        <f t="shared" si="8"/>
        <v>598.52646638054364</v>
      </c>
      <c r="L56" s="41" t="s">
        <v>48</v>
      </c>
      <c r="M56" s="38"/>
      <c r="N56" s="41" t="s">
        <v>55</v>
      </c>
      <c r="O56" s="38"/>
    </row>
    <row r="57" spans="1:15">
      <c r="A57" s="38">
        <v>1</v>
      </c>
      <c r="B57" s="41" t="s">
        <v>56</v>
      </c>
      <c r="C57" s="38">
        <v>405</v>
      </c>
      <c r="D57" s="38">
        <v>30</v>
      </c>
      <c r="E57" s="38">
        <v>1683</v>
      </c>
      <c r="F57" s="38">
        <f t="shared" si="0"/>
        <v>50490</v>
      </c>
      <c r="G57" s="38">
        <v>287</v>
      </c>
      <c r="H57" s="38">
        <f>D57</f>
        <v>30</v>
      </c>
      <c r="I57" s="38">
        <f t="shared" si="4"/>
        <v>8610</v>
      </c>
      <c r="J57" s="42">
        <f t="shared" si="7"/>
        <v>-0.82947118241235884</v>
      </c>
      <c r="K57" s="45">
        <f t="shared" si="8"/>
        <v>69.064171122994665</v>
      </c>
      <c r="L57" s="41" t="s">
        <v>14</v>
      </c>
      <c r="M57" s="38">
        <v>0.12</v>
      </c>
      <c r="N57" s="41" t="s">
        <v>35</v>
      </c>
      <c r="O57" s="38"/>
    </row>
    <row r="58" spans="1:15">
      <c r="A58" s="38">
        <v>2</v>
      </c>
      <c r="B58" s="41" t="s">
        <v>56</v>
      </c>
      <c r="C58" s="38"/>
      <c r="D58" s="38"/>
      <c r="E58" s="38"/>
      <c r="F58" s="38">
        <f t="shared" si="0"/>
        <v>0</v>
      </c>
      <c r="G58" s="38"/>
      <c r="H58" s="38"/>
      <c r="I58" s="38">
        <f t="shared" si="4"/>
        <v>0</v>
      </c>
      <c r="J58" s="42"/>
      <c r="K58" s="45"/>
      <c r="L58" s="38"/>
      <c r="M58" s="38">
        <f>0.2+0.41</f>
        <v>0.61</v>
      </c>
      <c r="N58" s="38"/>
      <c r="O58" s="38"/>
    </row>
    <row r="59" spans="1:15">
      <c r="A59" s="38">
        <v>1</v>
      </c>
      <c r="B59" s="41" t="s">
        <v>57</v>
      </c>
      <c r="C59" s="38">
        <v>2511</v>
      </c>
      <c r="D59" s="38">
        <v>24</v>
      </c>
      <c r="E59" s="38">
        <v>512</v>
      </c>
      <c r="F59" s="38">
        <f t="shared" si="0"/>
        <v>12288</v>
      </c>
      <c r="G59" s="38">
        <v>540</v>
      </c>
      <c r="H59" s="38">
        <f>D59</f>
        <v>24</v>
      </c>
      <c r="I59" s="38">
        <f t="shared" si="4"/>
        <v>12960</v>
      </c>
      <c r="J59" s="42">
        <f t="shared" ref="J59:J60" si="9">I59/F59-1</f>
        <v>5.46875E-2</v>
      </c>
      <c r="K59" s="45">
        <f t="shared" ref="K59:K60" si="10">C59*(1+J59)</f>
        <v>2648.3203125</v>
      </c>
      <c r="L59" s="41" t="s">
        <v>47</v>
      </c>
      <c r="M59" s="38"/>
      <c r="N59" s="38"/>
      <c r="O59" s="38"/>
    </row>
    <row r="60" spans="1:15" ht="24.95">
      <c r="A60" s="38">
        <v>2</v>
      </c>
      <c r="B60" s="41" t="s">
        <v>57</v>
      </c>
      <c r="C60" s="38">
        <v>2511</v>
      </c>
      <c r="D60" s="38">
        <v>24</v>
      </c>
      <c r="E60" s="38">
        <v>512</v>
      </c>
      <c r="F60" s="38">
        <f t="shared" si="0"/>
        <v>12288</v>
      </c>
      <c r="G60" s="38">
        <v>540</v>
      </c>
      <c r="H60" s="38">
        <v>36</v>
      </c>
      <c r="I60" s="38">
        <f t="shared" si="4"/>
        <v>19440</v>
      </c>
      <c r="J60" s="42">
        <f t="shared" si="9"/>
        <v>0.58203125</v>
      </c>
      <c r="K60" s="45">
        <f t="shared" si="10"/>
        <v>3972.48046875</v>
      </c>
      <c r="L60" s="41" t="s">
        <v>48</v>
      </c>
      <c r="M60" s="38">
        <v>0.67</v>
      </c>
      <c r="N60" s="41" t="s">
        <v>58</v>
      </c>
      <c r="O60" s="3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9B1E59-DE56-4746-AC02-FC29073CA920}">
  <dimension ref="A1:D116"/>
  <sheetViews>
    <sheetView zoomScale="130" zoomScaleNormal="130" workbookViewId="0">
      <selection activeCell="C2" sqref="C2"/>
    </sheetView>
  </sheetViews>
  <sheetFormatPr defaultRowHeight="14.45"/>
  <cols>
    <col min="1" max="1" width="34.28515625" style="584" bestFit="1" customWidth="1"/>
    <col min="2" max="2" width="41.7109375" style="584" bestFit="1" customWidth="1"/>
    <col min="3" max="3" width="43.7109375" customWidth="1"/>
  </cols>
  <sheetData>
    <row r="1" spans="1:4">
      <c r="A1" s="18" t="s">
        <v>689</v>
      </c>
      <c r="B1" s="18" t="s">
        <v>690</v>
      </c>
      <c r="C1" s="534" t="s">
        <v>691</v>
      </c>
      <c r="D1" t="s">
        <v>692</v>
      </c>
    </row>
    <row r="2" spans="1:4">
      <c r="A2" s="584" t="s">
        <v>693</v>
      </c>
      <c r="B2" s="584" t="s">
        <v>694</v>
      </c>
      <c r="C2" t="str">
        <f>MID(B2,1,LEN(B2)-5)</f>
        <v>Senco Gold</v>
      </c>
    </row>
    <row r="3" spans="1:4">
      <c r="A3" s="584" t="s">
        <v>693</v>
      </c>
      <c r="B3" s="584" t="s">
        <v>695</v>
      </c>
      <c r="C3" t="str">
        <f t="shared" ref="C3:C68" si="0">MID(B3,1,LEN(B3)-5)</f>
        <v>Credo Brands Marketing</v>
      </c>
    </row>
    <row r="4" spans="1:4">
      <c r="A4" s="584" t="s">
        <v>693</v>
      </c>
      <c r="B4" s="584" t="s">
        <v>696</v>
      </c>
      <c r="C4" t="str">
        <f>MID(B4,1,LEN(B4)-4)</f>
        <v>Poonawalla Fincorp</v>
      </c>
    </row>
    <row r="5" spans="1:4">
      <c r="A5" s="584" t="s">
        <v>693</v>
      </c>
      <c r="B5" s="584" t="s">
        <v>697</v>
      </c>
      <c r="C5" t="str">
        <f t="shared" si="0"/>
        <v>Kaynes Technology India</v>
      </c>
    </row>
    <row r="6" spans="1:4">
      <c r="A6" s="584" t="s">
        <v>693</v>
      </c>
      <c r="B6" s="584" t="s">
        <v>698</v>
      </c>
      <c r="C6" t="str">
        <f t="shared" si="0"/>
        <v>Zen Technologies</v>
      </c>
    </row>
    <row r="7" spans="1:4">
      <c r="A7" s="584" t="s">
        <v>693</v>
      </c>
      <c r="B7" s="584" t="s">
        <v>699</v>
      </c>
      <c r="C7" t="str">
        <f t="shared" si="0"/>
        <v>Sona BLW Precision Forgings</v>
      </c>
    </row>
    <row r="8" spans="1:4">
      <c r="A8" s="584" t="s">
        <v>693</v>
      </c>
      <c r="B8" s="584" t="s">
        <v>700</v>
      </c>
      <c r="C8" t="str">
        <f t="shared" si="0"/>
        <v>RateGain Travel Technologies</v>
      </c>
    </row>
    <row r="9" spans="1:4">
      <c r="A9" s="584" t="s">
        <v>693</v>
      </c>
      <c r="B9" s="584" t="s">
        <v>701</v>
      </c>
      <c r="C9" t="str">
        <f t="shared" si="0"/>
        <v>Avalon Technologies</v>
      </c>
    </row>
    <row r="10" spans="1:4">
      <c r="A10" s="584" t="s">
        <v>693</v>
      </c>
      <c r="B10" s="584" t="s">
        <v>702</v>
      </c>
      <c r="C10" t="str">
        <f t="shared" si="0"/>
        <v>L&amp;T Finance</v>
      </c>
    </row>
    <row r="11" spans="1:4">
      <c r="A11" s="584" t="s">
        <v>693</v>
      </c>
      <c r="B11" s="584" t="s">
        <v>703</v>
      </c>
      <c r="C11" t="str">
        <f t="shared" si="0"/>
        <v>Power Mech Projects</v>
      </c>
    </row>
    <row r="12" spans="1:4">
      <c r="A12" s="584" t="s">
        <v>693</v>
      </c>
      <c r="B12" s="584" t="s">
        <v>704</v>
      </c>
      <c r="C12" t="str">
        <f t="shared" si="0"/>
        <v>Gujarat Fluorochemicals</v>
      </c>
    </row>
    <row r="13" spans="1:4">
      <c r="A13" s="584" t="s">
        <v>693</v>
      </c>
      <c r="B13" s="584" t="s">
        <v>705</v>
      </c>
      <c r="C13" t="str">
        <f t="shared" si="0"/>
        <v>Vedant Fashions</v>
      </c>
    </row>
    <row r="14" spans="1:4">
      <c r="A14" s="584" t="s">
        <v>693</v>
      </c>
      <c r="B14" s="584" t="s">
        <v>706</v>
      </c>
      <c r="C14" t="str">
        <f t="shared" si="0"/>
        <v>Restaurant Brands Asi</v>
      </c>
    </row>
    <row r="15" spans="1:4">
      <c r="A15" s="584" t="s">
        <v>693</v>
      </c>
      <c r="B15" s="584" t="s">
        <v>707</v>
      </c>
      <c r="C15" t="str">
        <f t="shared" si="0"/>
        <v xml:space="preserve">CE Info Systems </v>
      </c>
    </row>
    <row r="16" spans="1:4">
      <c r="A16" s="584" t="s">
        <v>693</v>
      </c>
      <c r="B16" s="584" t="s">
        <v>708</v>
      </c>
      <c r="C16" t="str">
        <f t="shared" si="0"/>
        <v>Muthoot Microfin</v>
      </c>
    </row>
    <row r="17" spans="1:4">
      <c r="A17" s="584" t="s">
        <v>693</v>
      </c>
      <c r="B17" s="584" t="s">
        <v>709</v>
      </c>
      <c r="C17" t="str">
        <f t="shared" si="0"/>
        <v>Dr. Lal Pathlabs</v>
      </c>
    </row>
    <row r="18" spans="1:4">
      <c r="A18" s="584" t="s">
        <v>693</v>
      </c>
      <c r="B18" s="584" t="s">
        <v>710</v>
      </c>
      <c r="C18" t="str">
        <f t="shared" si="0"/>
        <v>Campus Activewear</v>
      </c>
    </row>
    <row r="19" spans="1:4">
      <c r="A19" s="584" t="s">
        <v>693</v>
      </c>
      <c r="B19" s="584" t="s">
        <v>711</v>
      </c>
      <c r="C19" t="str">
        <f t="shared" si="0"/>
        <v>Tejas Networks</v>
      </c>
    </row>
    <row r="20" spans="1:4">
      <c r="A20" s="584" t="s">
        <v>712</v>
      </c>
      <c r="B20" s="584" t="s">
        <v>713</v>
      </c>
      <c r="C20" t="str">
        <f>MID(B20,1,LEN(B20)-7)</f>
        <v>IDFC First Bank</v>
      </c>
    </row>
    <row r="21" spans="1:4">
      <c r="A21" s="584" t="s">
        <v>712</v>
      </c>
      <c r="B21" s="584" t="s">
        <v>714</v>
      </c>
      <c r="C21" t="str">
        <f>MID(B21,1,LEN(B21)-7)</f>
        <v>Poonawalla Fincorp</v>
      </c>
    </row>
    <row r="22" spans="1:4">
      <c r="A22" s="584" t="s">
        <v>712</v>
      </c>
      <c r="B22" s="584" t="s">
        <v>715</v>
      </c>
      <c r="C22" t="str">
        <f t="shared" ref="C22:C24" si="1">MID(B22,1,LEN(B22)-7)</f>
        <v>Star Health and Allied Insurance Company</v>
      </c>
    </row>
    <row r="23" spans="1:4">
      <c r="A23" s="584" t="s">
        <v>712</v>
      </c>
      <c r="B23" s="584" t="s">
        <v>716</v>
      </c>
      <c r="C23" t="str">
        <f t="shared" si="1"/>
        <v>Max Healthcare Institute</v>
      </c>
    </row>
    <row r="24" spans="1:4">
      <c r="A24" s="584" t="s">
        <v>712</v>
      </c>
      <c r="B24" s="584" t="s">
        <v>717</v>
      </c>
      <c r="C24" t="str">
        <f t="shared" si="1"/>
        <v>Zomato</v>
      </c>
    </row>
    <row r="25" spans="1:4">
      <c r="A25" s="584" t="s">
        <v>712</v>
      </c>
      <c r="B25" s="584" t="s">
        <v>718</v>
      </c>
      <c r="C25" t="str">
        <f t="shared" si="0"/>
        <v>Kalyan Jewellers India</v>
      </c>
    </row>
    <row r="26" spans="1:4">
      <c r="A26" s="584" t="s">
        <v>712</v>
      </c>
      <c r="B26" s="584" t="s">
        <v>719</v>
      </c>
      <c r="C26" t="str">
        <f t="shared" ref="C26:C33" si="2">MID(B26,1,LEN(B26)-7)</f>
        <v xml:space="preserve"> Ambuja Cements</v>
      </c>
      <c r="D26">
        <v>2</v>
      </c>
    </row>
    <row r="27" spans="1:4">
      <c r="A27" s="584" t="s">
        <v>712</v>
      </c>
      <c r="B27" s="584" t="s">
        <v>720</v>
      </c>
      <c r="C27" t="str">
        <f t="shared" si="2"/>
        <v>EIH</v>
      </c>
    </row>
    <row r="28" spans="1:4">
      <c r="A28" s="584" t="s">
        <v>712</v>
      </c>
      <c r="B28" s="584" t="s">
        <v>721</v>
      </c>
      <c r="C28" t="str">
        <f t="shared" si="2"/>
        <v>Tata Power Company</v>
      </c>
    </row>
    <row r="29" spans="1:4">
      <c r="A29" s="584" t="s">
        <v>712</v>
      </c>
      <c r="B29" s="584" t="s">
        <v>722</v>
      </c>
      <c r="C29" t="str">
        <f t="shared" si="2"/>
        <v>Crompton Greaves Consumer Electrical</v>
      </c>
    </row>
    <row r="30" spans="1:4">
      <c r="A30" s="584" t="s">
        <v>712</v>
      </c>
      <c r="B30" s="584" t="s">
        <v>723</v>
      </c>
      <c r="C30" t="str">
        <f t="shared" si="2"/>
        <v>Avalon Technologies</v>
      </c>
    </row>
    <row r="31" spans="1:4">
      <c r="A31" s="584" t="s">
        <v>724</v>
      </c>
      <c r="B31" s="584" t="s">
        <v>725</v>
      </c>
      <c r="C31" t="str">
        <f t="shared" si="2"/>
        <v>IDFC First Bank</v>
      </c>
    </row>
    <row r="32" spans="1:4">
      <c r="A32" s="584" t="s">
        <v>724</v>
      </c>
      <c r="B32" s="584" t="s">
        <v>726</v>
      </c>
      <c r="C32" t="str">
        <f>MID(B32,1,LEN(B32)-6)</f>
        <v>Ambuja Cements</v>
      </c>
    </row>
    <row r="33" spans="1:3">
      <c r="A33" s="584" t="s">
        <v>724</v>
      </c>
      <c r="B33" s="584" t="s">
        <v>727</v>
      </c>
      <c r="C33" t="str">
        <f t="shared" si="2"/>
        <v>Bharti Airtel</v>
      </c>
    </row>
    <row r="34" spans="1:3">
      <c r="A34" s="584" t="s">
        <v>724</v>
      </c>
      <c r="B34" s="584" t="s">
        <v>728</v>
      </c>
      <c r="C34" t="str">
        <f t="shared" si="0"/>
        <v>Varun Beverages</v>
      </c>
    </row>
    <row r="35" spans="1:3">
      <c r="A35" s="584" t="s">
        <v>724</v>
      </c>
      <c r="B35" s="584" t="s">
        <v>729</v>
      </c>
      <c r="C35" t="str">
        <f t="shared" si="0"/>
        <v>L&amp;T Finance</v>
      </c>
    </row>
    <row r="36" spans="1:3">
      <c r="A36" s="584" t="s">
        <v>724</v>
      </c>
      <c r="B36" s="584" t="s">
        <v>730</v>
      </c>
      <c r="C36" t="str">
        <f t="shared" si="0"/>
        <v>Poonawalla Fincorp</v>
      </c>
    </row>
    <row r="37" spans="1:3">
      <c r="A37" s="584" t="s">
        <v>724</v>
      </c>
      <c r="B37" s="584" t="s">
        <v>731</v>
      </c>
      <c r="C37" t="str">
        <f t="shared" si="0"/>
        <v>Max Healthcare Institute</v>
      </c>
    </row>
    <row r="38" spans="1:3">
      <c r="A38" s="584" t="s">
        <v>724</v>
      </c>
      <c r="B38" s="584" t="s">
        <v>732</v>
      </c>
      <c r="C38" t="str">
        <f t="shared" ref="C38:C46" si="3">MID(B38,1,LEN(B38)-7)</f>
        <v>Zomato</v>
      </c>
    </row>
    <row r="39" spans="1:3">
      <c r="A39" s="584" t="s">
        <v>724</v>
      </c>
      <c r="B39" s="584" t="s">
        <v>733</v>
      </c>
      <c r="C39" t="str">
        <f t="shared" si="3"/>
        <v>Star Health and Allied Insurance Company</v>
      </c>
    </row>
    <row r="40" spans="1:3">
      <c r="A40" s="584" t="s">
        <v>724</v>
      </c>
      <c r="B40" s="584" t="s">
        <v>734</v>
      </c>
      <c r="C40" t="str">
        <f t="shared" si="3"/>
        <v>Tata Motors</v>
      </c>
    </row>
    <row r="41" spans="1:3">
      <c r="A41" s="584" t="s">
        <v>724</v>
      </c>
      <c r="B41" s="584" t="s">
        <v>735</v>
      </c>
      <c r="C41" t="str">
        <f t="shared" si="3"/>
        <v>Crompton Greaves Consumer Electrical</v>
      </c>
    </row>
    <row r="42" spans="1:3">
      <c r="A42" s="584" t="s">
        <v>724</v>
      </c>
      <c r="B42" s="584" t="s">
        <v>736</v>
      </c>
      <c r="C42" t="str">
        <f>MID(B42,1,LEN(B42)-6)</f>
        <v>Tata Power Company</v>
      </c>
    </row>
    <row r="43" spans="1:3">
      <c r="A43" s="584" t="s">
        <v>724</v>
      </c>
      <c r="B43" s="584" t="s">
        <v>737</v>
      </c>
      <c r="C43" t="str">
        <f t="shared" si="3"/>
        <v>Tata Consumer Products</v>
      </c>
    </row>
    <row r="44" spans="1:3">
      <c r="A44" s="584" t="s">
        <v>738</v>
      </c>
      <c r="B44" s="584" t="s">
        <v>739</v>
      </c>
      <c r="C44" t="str">
        <f t="shared" si="3"/>
        <v>Reliance Industries</v>
      </c>
    </row>
    <row r="45" spans="1:3">
      <c r="A45" s="584" t="s">
        <v>738</v>
      </c>
      <c r="B45" s="584" t="s">
        <v>740</v>
      </c>
      <c r="C45" t="str">
        <f t="shared" si="3"/>
        <v>Fine Organic Industries</v>
      </c>
    </row>
    <row r="46" spans="1:3">
      <c r="A46" s="584" t="s">
        <v>738</v>
      </c>
      <c r="B46" s="584" t="s">
        <v>733</v>
      </c>
      <c r="C46" t="str">
        <f t="shared" si="3"/>
        <v>Star Health and Allied Insurance Company</v>
      </c>
    </row>
    <row r="47" spans="1:3">
      <c r="A47" s="584" t="s">
        <v>738</v>
      </c>
      <c r="B47" s="584" t="s">
        <v>741</v>
      </c>
      <c r="C47" t="str">
        <f t="shared" si="0"/>
        <v>IDFC First Bank</v>
      </c>
    </row>
    <row r="48" spans="1:3">
      <c r="A48" s="584" t="s">
        <v>738</v>
      </c>
      <c r="B48" s="584" t="s">
        <v>742</v>
      </c>
      <c r="C48" t="str">
        <f t="shared" si="0"/>
        <v>HDFC Ban</v>
      </c>
    </row>
    <row r="49" spans="1:4">
      <c r="A49" s="584" t="s">
        <v>738</v>
      </c>
      <c r="B49" s="584" t="s">
        <v>743</v>
      </c>
      <c r="C49" t="str">
        <f t="shared" si="0"/>
        <v>NTPC</v>
      </c>
    </row>
    <row r="50" spans="1:4">
      <c r="A50" s="584" t="s">
        <v>738</v>
      </c>
      <c r="B50" s="584" t="s">
        <v>744</v>
      </c>
      <c r="C50" t="str">
        <f t="shared" si="0"/>
        <v>Tata Power Company</v>
      </c>
    </row>
    <row r="51" spans="1:4">
      <c r="A51" s="584" t="s">
        <v>738</v>
      </c>
      <c r="B51" s="584" t="s">
        <v>745</v>
      </c>
      <c r="C51" t="str">
        <f t="shared" si="0"/>
        <v>Bharti Airtel</v>
      </c>
    </row>
    <row r="52" spans="1:4">
      <c r="A52" s="584" t="s">
        <v>738</v>
      </c>
      <c r="B52" s="584" t="s">
        <v>746</v>
      </c>
      <c r="C52" t="str">
        <f t="shared" si="0"/>
        <v>Bajaj Finance</v>
      </c>
    </row>
    <row r="53" spans="1:4">
      <c r="A53" s="584" t="s">
        <v>738</v>
      </c>
      <c r="B53" s="584" t="s">
        <v>747</v>
      </c>
      <c r="C53" t="str">
        <f t="shared" ref="C53:C54" si="4">MID(B53,1,LEN(B53)-7)</f>
        <v>Pl Industries</v>
      </c>
    </row>
    <row r="54" spans="1:4">
      <c r="A54" s="584" t="s">
        <v>738</v>
      </c>
      <c r="B54" s="584" t="s">
        <v>748</v>
      </c>
      <c r="C54" t="str">
        <f t="shared" si="4"/>
        <v>Ambuja Cements</v>
      </c>
      <c r="D54">
        <v>2</v>
      </c>
    </row>
    <row r="55" spans="1:4">
      <c r="A55" s="584" t="s">
        <v>738</v>
      </c>
      <c r="B55" s="584" t="s">
        <v>749</v>
      </c>
      <c r="C55" t="str">
        <f t="shared" si="0"/>
        <v>Deepak Nitrite</v>
      </c>
    </row>
    <row r="56" spans="1:4">
      <c r="A56" s="584" t="s">
        <v>738</v>
      </c>
      <c r="B56" s="584" t="s">
        <v>750</v>
      </c>
      <c r="C56" t="str">
        <f t="shared" si="0"/>
        <v>L&amp;T Finance</v>
      </c>
    </row>
    <row r="57" spans="1:4">
      <c r="A57" s="584" t="s">
        <v>738</v>
      </c>
      <c r="B57" s="584" t="s">
        <v>751</v>
      </c>
      <c r="C57" t="str">
        <f>MID(B57,1,LEN(B57)-7)</f>
        <v>EIH</v>
      </c>
    </row>
    <row r="58" spans="1:4">
      <c r="A58" s="584" t="s">
        <v>738</v>
      </c>
      <c r="B58" s="584" t="s">
        <v>752</v>
      </c>
      <c r="C58" t="str">
        <f t="shared" si="0"/>
        <v>Power Grid Corporation Of India</v>
      </c>
    </row>
    <row r="59" spans="1:4">
      <c r="A59" s="584" t="s">
        <v>753</v>
      </c>
      <c r="B59" s="584" t="s">
        <v>754</v>
      </c>
      <c r="C59" t="str">
        <f t="shared" si="0"/>
        <v xml:space="preserve">Tata Motors </v>
      </c>
    </row>
    <row r="60" spans="1:4">
      <c r="A60" s="584" t="s">
        <v>753</v>
      </c>
      <c r="B60" s="584" t="s">
        <v>755</v>
      </c>
      <c r="C60" t="str">
        <f t="shared" si="0"/>
        <v xml:space="preserve">Reliance Industries </v>
      </c>
    </row>
    <row r="61" spans="1:4">
      <c r="A61" s="584" t="s">
        <v>753</v>
      </c>
      <c r="B61" s="584" t="s">
        <v>756</v>
      </c>
      <c r="C61" t="str">
        <f t="shared" si="0"/>
        <v>Torrent Power</v>
      </c>
    </row>
    <row r="62" spans="1:4">
      <c r="A62" s="584" t="s">
        <v>753</v>
      </c>
      <c r="B62" s="584" t="s">
        <v>757</v>
      </c>
      <c r="C62" t="str">
        <f t="shared" si="0"/>
        <v xml:space="preserve">Sona BLW Precision Forgings </v>
      </c>
    </row>
    <row r="63" spans="1:4">
      <c r="A63" s="584" t="s">
        <v>753</v>
      </c>
      <c r="B63" s="584" t="s">
        <v>758</v>
      </c>
      <c r="C63" t="str">
        <f t="shared" si="0"/>
        <v xml:space="preserve">Tata Power Company </v>
      </c>
    </row>
    <row r="64" spans="1:4">
      <c r="A64" s="584" t="s">
        <v>753</v>
      </c>
      <c r="B64" s="584" t="s">
        <v>759</v>
      </c>
      <c r="C64" t="str">
        <f t="shared" si="0"/>
        <v>Avalon Technologies</v>
      </c>
    </row>
    <row r="65" spans="1:4">
      <c r="A65" s="584" t="s">
        <v>753</v>
      </c>
      <c r="B65" s="584" t="s">
        <v>760</v>
      </c>
      <c r="C65" t="str">
        <f>MID(B65,1,LEN(B65)-4)</f>
        <v>Tube Investments of India</v>
      </c>
    </row>
    <row r="66" spans="1:4">
      <c r="A66" s="584" t="s">
        <v>753</v>
      </c>
      <c r="B66" s="584" t="s">
        <v>761</v>
      </c>
      <c r="C66" t="str">
        <f t="shared" si="0"/>
        <v>NTPC</v>
      </c>
    </row>
    <row r="67" spans="1:4">
      <c r="A67" s="584" t="s">
        <v>753</v>
      </c>
      <c r="B67" s="584" t="s">
        <v>762</v>
      </c>
      <c r="C67" t="str">
        <f t="shared" si="0"/>
        <v>Borosil Renewables</v>
      </c>
    </row>
    <row r="68" spans="1:4">
      <c r="A68" s="584" t="s">
        <v>753</v>
      </c>
      <c r="B68" s="584" t="s">
        <v>763</v>
      </c>
      <c r="C68" t="str">
        <f t="shared" si="0"/>
        <v>ABB Indi</v>
      </c>
      <c r="D68">
        <v>1</v>
      </c>
    </row>
    <row r="69" spans="1:4">
      <c r="A69" s="584" t="s">
        <v>753</v>
      </c>
      <c r="B69" s="584" t="s">
        <v>764</v>
      </c>
      <c r="C69" t="str">
        <f t="shared" ref="C69:C113" si="5">MID(B69,1,LEN(B69)-5)</f>
        <v>KPIT Technologies</v>
      </c>
    </row>
    <row r="70" spans="1:4">
      <c r="A70" s="584" t="s">
        <v>753</v>
      </c>
      <c r="B70" s="584" t="s">
        <v>765</v>
      </c>
      <c r="C70" t="str">
        <f t="shared" si="5"/>
        <v>Gujarat Fluorochemicals</v>
      </c>
    </row>
    <row r="71" spans="1:4">
      <c r="A71" s="988" t="s">
        <v>766</v>
      </c>
      <c r="B71" s="584" t="s">
        <v>767</v>
      </c>
      <c r="C71" t="str">
        <f t="shared" ref="C71:C74" si="6">MID(B71,1,LEN(B71)-7)</f>
        <v>ICICI Ban</v>
      </c>
    </row>
    <row r="72" spans="1:4">
      <c r="A72" s="988" t="s">
        <v>766</v>
      </c>
      <c r="B72" s="584" t="s">
        <v>768</v>
      </c>
      <c r="C72" t="str">
        <f t="shared" si="6"/>
        <v>IDFC First Bank</v>
      </c>
    </row>
    <row r="73" spans="1:4">
      <c r="A73" s="988" t="s">
        <v>766</v>
      </c>
      <c r="B73" s="584" t="s">
        <v>769</v>
      </c>
      <c r="C73" t="str">
        <f>MID(B73,1,LEN(B73)-6)</f>
        <v>Polycab India</v>
      </c>
    </row>
    <row r="74" spans="1:4">
      <c r="A74" s="988" t="s">
        <v>766</v>
      </c>
      <c r="B74" s="584" t="s">
        <v>740</v>
      </c>
      <c r="C74" t="str">
        <f t="shared" si="6"/>
        <v>Fine Organic Industries</v>
      </c>
    </row>
    <row r="75" spans="1:4">
      <c r="A75" s="988" t="s">
        <v>766</v>
      </c>
      <c r="B75" s="584" t="s">
        <v>694</v>
      </c>
      <c r="C75" t="str">
        <f t="shared" si="5"/>
        <v>Senco Gold</v>
      </c>
    </row>
    <row r="76" spans="1:4">
      <c r="A76" s="988" t="s">
        <v>766</v>
      </c>
      <c r="B76" s="584" t="s">
        <v>770</v>
      </c>
      <c r="C76" t="str">
        <f t="shared" si="5"/>
        <v>Star Health and Allied Insurance Company</v>
      </c>
    </row>
    <row r="77" spans="1:4">
      <c r="A77" s="988" t="s">
        <v>766</v>
      </c>
      <c r="B77" s="584" t="s">
        <v>745</v>
      </c>
      <c r="C77" t="str">
        <f t="shared" si="5"/>
        <v>Bharti Airtel</v>
      </c>
    </row>
    <row r="78" spans="1:4">
      <c r="A78" s="988" t="s">
        <v>766</v>
      </c>
      <c r="B78" s="584" t="s">
        <v>771</v>
      </c>
      <c r="C78" t="str">
        <f>MID(B78,1,LEN(B78)-6)</f>
        <v>Poonawalla Fincorp</v>
      </c>
    </row>
    <row r="79" spans="1:4">
      <c r="A79" s="988" t="s">
        <v>766</v>
      </c>
      <c r="B79" s="584" t="s">
        <v>772</v>
      </c>
      <c r="C79" t="str">
        <f>MID(B79,1,LEN(B79)-6)</f>
        <v xml:space="preserve">Tube Investments of India </v>
      </c>
    </row>
    <row r="80" spans="1:4">
      <c r="A80" s="988" t="s">
        <v>766</v>
      </c>
      <c r="B80" s="584" t="s">
        <v>773</v>
      </c>
      <c r="C80" t="str">
        <f t="shared" si="5"/>
        <v>Kaynes Technology India</v>
      </c>
    </row>
    <row r="81" spans="1:3">
      <c r="A81" s="988" t="s">
        <v>766</v>
      </c>
      <c r="B81" s="584" t="s">
        <v>774</v>
      </c>
      <c r="C81" t="str">
        <f t="shared" si="5"/>
        <v>CE Info Systems</v>
      </c>
    </row>
    <row r="82" spans="1:3">
      <c r="A82" s="988" t="s">
        <v>766</v>
      </c>
      <c r="B82" s="584" t="s">
        <v>764</v>
      </c>
      <c r="C82" t="str">
        <f t="shared" si="5"/>
        <v>KPIT Technologies</v>
      </c>
    </row>
    <row r="83" spans="1:3">
      <c r="A83" s="988" t="s">
        <v>766</v>
      </c>
      <c r="B83" s="584" t="s">
        <v>775</v>
      </c>
      <c r="C83" t="str">
        <f t="shared" si="5"/>
        <v>Electronics Mart Indi</v>
      </c>
    </row>
    <row r="84" spans="1:3">
      <c r="A84" s="988" t="s">
        <v>766</v>
      </c>
      <c r="B84" s="584" t="s">
        <v>776</v>
      </c>
      <c r="C84" t="str">
        <f t="shared" si="5"/>
        <v>Tata Motors</v>
      </c>
    </row>
    <row r="85" spans="1:3">
      <c r="A85" s="988" t="s">
        <v>766</v>
      </c>
      <c r="B85" s="584" t="s">
        <v>777</v>
      </c>
      <c r="C85" t="str">
        <f t="shared" si="5"/>
        <v>Max Healthcare Institute</v>
      </c>
    </row>
    <row r="86" spans="1:3">
      <c r="A86" s="584" t="s">
        <v>778</v>
      </c>
      <c r="B86" s="584" t="s">
        <v>779</v>
      </c>
      <c r="C86" t="str">
        <f t="shared" ref="C86:C100" si="7">MID(B86,1,LEN(B86)-7)</f>
        <v>Macrotech Developers</v>
      </c>
    </row>
    <row r="87" spans="1:3">
      <c r="A87" s="584" t="s">
        <v>778</v>
      </c>
      <c r="B87" s="584" t="s">
        <v>780</v>
      </c>
      <c r="C87" t="str">
        <f t="shared" si="7"/>
        <v>The Phoenix Mill</v>
      </c>
    </row>
    <row r="88" spans="1:3">
      <c r="A88" s="584" t="s">
        <v>778</v>
      </c>
      <c r="B88" s="584" t="s">
        <v>781</v>
      </c>
      <c r="C88" t="str">
        <f t="shared" si="7"/>
        <v>Mahindra &amp; Mahindra</v>
      </c>
    </row>
    <row r="89" spans="1:3">
      <c r="A89" s="584" t="s">
        <v>778</v>
      </c>
      <c r="B89" s="584" t="s">
        <v>782</v>
      </c>
      <c r="C89" t="str">
        <f t="shared" si="7"/>
        <v>Brigade Enterprises</v>
      </c>
    </row>
    <row r="90" spans="1:3">
      <c r="A90" s="584" t="s">
        <v>778</v>
      </c>
      <c r="B90" s="584" t="s">
        <v>783</v>
      </c>
      <c r="C90" t="str">
        <f t="shared" si="7"/>
        <v>Power Finance Corporatio</v>
      </c>
    </row>
    <row r="91" spans="1:3">
      <c r="A91" s="584" t="s">
        <v>778</v>
      </c>
      <c r="B91" s="584" t="s">
        <v>784</v>
      </c>
      <c r="C91" t="str">
        <f t="shared" si="7"/>
        <v>Triveni Turbine</v>
      </c>
    </row>
    <row r="92" spans="1:3">
      <c r="A92" s="584" t="s">
        <v>778</v>
      </c>
      <c r="B92" s="584" t="s">
        <v>785</v>
      </c>
      <c r="C92" t="str">
        <f t="shared" si="7"/>
        <v>Godrej Properties</v>
      </c>
    </row>
    <row r="93" spans="1:3">
      <c r="A93" s="584" t="s">
        <v>778</v>
      </c>
      <c r="B93" s="584" t="s">
        <v>786</v>
      </c>
      <c r="C93" t="str">
        <f t="shared" si="7"/>
        <v>Oberoi Realty</v>
      </c>
    </row>
    <row r="94" spans="1:3">
      <c r="A94" s="584" t="s">
        <v>778</v>
      </c>
      <c r="B94" s="584" t="s">
        <v>787</v>
      </c>
      <c r="C94" t="str">
        <f t="shared" si="7"/>
        <v>IRB Infrastructure Developers</v>
      </c>
    </row>
    <row r="95" spans="1:3">
      <c r="A95" s="584" t="s">
        <v>778</v>
      </c>
      <c r="B95" s="584" t="s">
        <v>788</v>
      </c>
      <c r="C95" t="str">
        <f t="shared" si="7"/>
        <v>Bharat Electronics</v>
      </c>
    </row>
    <row r="96" spans="1:3">
      <c r="A96" s="584" t="s">
        <v>778</v>
      </c>
      <c r="B96" s="584" t="s">
        <v>789</v>
      </c>
      <c r="C96" t="str">
        <f t="shared" si="7"/>
        <v>Canara Bank</v>
      </c>
    </row>
    <row r="97" spans="1:3">
      <c r="A97" s="584" t="s">
        <v>778</v>
      </c>
      <c r="B97" s="584" t="s">
        <v>790</v>
      </c>
      <c r="C97" t="str">
        <f t="shared" si="7"/>
        <v>Interglobe Aviation</v>
      </c>
    </row>
    <row r="98" spans="1:3">
      <c r="A98" s="584" t="s">
        <v>778</v>
      </c>
      <c r="B98" s="584" t="s">
        <v>791</v>
      </c>
      <c r="C98" t="str">
        <f t="shared" si="7"/>
        <v>RE</v>
      </c>
    </row>
    <row r="99" spans="1:3">
      <c r="A99" s="584" t="s">
        <v>778</v>
      </c>
      <c r="B99" s="584" t="s">
        <v>792</v>
      </c>
      <c r="C99" t="str">
        <f t="shared" si="7"/>
        <v>PB Fintech</v>
      </c>
    </row>
    <row r="100" spans="1:3">
      <c r="A100" s="584" t="s">
        <v>778</v>
      </c>
      <c r="B100" s="584" t="s">
        <v>793</v>
      </c>
      <c r="C100" t="str">
        <f t="shared" si="7"/>
        <v>Bharat Forge</v>
      </c>
    </row>
    <row r="101" spans="1:3">
      <c r="A101" s="988" t="s">
        <v>794</v>
      </c>
      <c r="B101" s="584" t="s">
        <v>795</v>
      </c>
      <c r="C101" t="str">
        <f t="shared" si="5"/>
        <v>Bajaj Finance</v>
      </c>
    </row>
    <row r="102" spans="1:3">
      <c r="A102" s="988" t="s">
        <v>794</v>
      </c>
      <c r="B102" s="584" t="s">
        <v>796</v>
      </c>
      <c r="C102" t="str">
        <f t="shared" si="5"/>
        <v>Reliance Industries</v>
      </c>
    </row>
    <row r="103" spans="1:3">
      <c r="A103" s="988" t="s">
        <v>794</v>
      </c>
      <c r="B103" s="584" t="s">
        <v>797</v>
      </c>
      <c r="C103" t="str">
        <f t="shared" si="5"/>
        <v>Pl Industries</v>
      </c>
    </row>
    <row r="104" spans="1:3">
      <c r="A104" s="988" t="s">
        <v>794</v>
      </c>
      <c r="B104" s="584" t="s">
        <v>798</v>
      </c>
      <c r="C104" t="str">
        <f t="shared" si="5"/>
        <v>Tata Power Company</v>
      </c>
    </row>
    <row r="105" spans="1:3">
      <c r="A105" s="988" t="s">
        <v>794</v>
      </c>
      <c r="B105" s="584" t="s">
        <v>799</v>
      </c>
      <c r="C105" t="str">
        <f t="shared" si="5"/>
        <v>Kaynes Technology India</v>
      </c>
    </row>
    <row r="106" spans="1:3">
      <c r="A106" s="988" t="s">
        <v>794</v>
      </c>
      <c r="B106" s="584" t="s">
        <v>800</v>
      </c>
      <c r="C106" t="str">
        <f t="shared" si="5"/>
        <v>Zomato</v>
      </c>
    </row>
    <row r="107" spans="1:3">
      <c r="A107" s="988" t="s">
        <v>794</v>
      </c>
      <c r="B107" s="584" t="s">
        <v>801</v>
      </c>
      <c r="C107" t="str">
        <f t="shared" si="5"/>
        <v>KPIT Technologies</v>
      </c>
    </row>
    <row r="108" spans="1:3">
      <c r="A108" s="988" t="s">
        <v>794</v>
      </c>
      <c r="B108" s="584" t="s">
        <v>802</v>
      </c>
      <c r="C108" t="str">
        <f>MID(B108,1,LEN(B108)-6)</f>
        <v>Poonawalla Fincorp</v>
      </c>
    </row>
    <row r="109" spans="1:3">
      <c r="A109" s="988" t="s">
        <v>794</v>
      </c>
      <c r="B109" s="584" t="s">
        <v>803</v>
      </c>
      <c r="C109" t="str">
        <f>MID(B109,1,LEN(B109)-4)</f>
        <v>Star Health and Allied Insurance Company</v>
      </c>
    </row>
    <row r="110" spans="1:3">
      <c r="A110" s="988" t="s">
        <v>794</v>
      </c>
      <c r="B110" s="584" t="s">
        <v>804</v>
      </c>
      <c r="C110" t="str">
        <f t="shared" si="5"/>
        <v>IDFC First Bank</v>
      </c>
    </row>
    <row r="111" spans="1:3">
      <c r="A111" s="988" t="s">
        <v>794</v>
      </c>
      <c r="B111" s="584" t="s">
        <v>805</v>
      </c>
      <c r="C111" t="str">
        <f t="shared" si="5"/>
        <v>Avenue Supermart</v>
      </c>
    </row>
    <row r="112" spans="1:3">
      <c r="A112" s="988" t="s">
        <v>794</v>
      </c>
      <c r="B112" s="584" t="s">
        <v>806</v>
      </c>
      <c r="C112" t="str">
        <f>MID(B112,1,LEN(B112)-4)</f>
        <v>Dr. Lal Pathlabs</v>
      </c>
    </row>
    <row r="113" spans="1:3">
      <c r="A113" s="988" t="s">
        <v>794</v>
      </c>
      <c r="B113" s="584" t="s">
        <v>807</v>
      </c>
      <c r="C113" t="str">
        <f t="shared" si="5"/>
        <v>Polycab India</v>
      </c>
    </row>
    <row r="114" spans="1:3">
      <c r="A114" s="988" t="s">
        <v>794</v>
      </c>
      <c r="B114" s="584" t="s">
        <v>808</v>
      </c>
      <c r="C114" t="str">
        <f>MID(B114,1,LEN(B114)-6)</f>
        <v>Kalyan Jewellers India</v>
      </c>
    </row>
    <row r="115" spans="1:3">
      <c r="A115" s="988"/>
    </row>
    <row r="116" spans="1:3">
      <c r="A116" s="988"/>
    </row>
  </sheetData>
  <autoFilter ref="A1:C114" xr:uid="{909B1E59-DE56-4746-AC02-FC29073CA920}"/>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B0A04D-5967-4722-906C-C9CC177522B7}">
  <dimension ref="A1:G1"/>
  <sheetViews>
    <sheetView topLeftCell="A15" workbookViewId="0">
      <selection activeCell="G40" sqref="G40"/>
    </sheetView>
  </sheetViews>
  <sheetFormatPr defaultRowHeight="14.45"/>
  <cols>
    <col min="2" max="2" width="33.5703125" customWidth="1"/>
  </cols>
  <sheetData>
    <row r="1" spans="1:7">
      <c r="A1" s="203" t="s">
        <v>809</v>
      </c>
      <c r="B1" s="203" t="s">
        <v>810</v>
      </c>
      <c r="D1" s="1308" t="s">
        <v>811</v>
      </c>
      <c r="E1" s="1308" t="s">
        <v>812</v>
      </c>
      <c r="F1" s="1308"/>
      <c r="G1" s="1308"/>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875499-7CEB-45C8-AB4F-EE7A440F8AA5}">
  <dimension ref="C2:N58"/>
  <sheetViews>
    <sheetView topLeftCell="B49" zoomScale="130" zoomScaleNormal="130" workbookViewId="0">
      <selection activeCell="G58" sqref="G58"/>
    </sheetView>
  </sheetViews>
  <sheetFormatPr defaultRowHeight="14.45"/>
  <cols>
    <col min="3" max="3" width="36.42578125" customWidth="1"/>
    <col min="4" max="4" width="20.28515625" style="535" customWidth="1"/>
    <col min="5" max="5" width="16.5703125" customWidth="1"/>
    <col min="6" max="6" width="19.28515625" customWidth="1"/>
    <col min="7" max="7" width="14.7109375" customWidth="1"/>
    <col min="8" max="8" width="11.5703125" style="684" bestFit="1" customWidth="1"/>
  </cols>
  <sheetData>
    <row r="2" spans="3:14">
      <c r="C2" s="147" t="s">
        <v>813</v>
      </c>
      <c r="D2" s="555">
        <v>62</v>
      </c>
      <c r="E2" s="31"/>
      <c r="F2" s="31"/>
      <c r="G2" s="31"/>
      <c r="H2" s="555"/>
      <c r="I2" s="31"/>
      <c r="M2" t="s">
        <v>814</v>
      </c>
      <c r="N2" t="s">
        <v>815</v>
      </c>
    </row>
    <row r="3" spans="3:14">
      <c r="C3" s="147" t="s">
        <v>816</v>
      </c>
      <c r="D3" s="555">
        <v>180</v>
      </c>
      <c r="E3" s="32">
        <f>D3/D2-1</f>
        <v>1.903225806451613</v>
      </c>
      <c r="F3" s="146" t="s">
        <v>817</v>
      </c>
      <c r="G3" s="146" t="s">
        <v>818</v>
      </c>
      <c r="H3" s="1613">
        <v>345</v>
      </c>
      <c r="I3" s="31"/>
    </row>
    <row r="4" spans="3:14">
      <c r="C4" s="147" t="s">
        <v>819</v>
      </c>
      <c r="D4" s="555">
        <v>1.39</v>
      </c>
      <c r="E4" s="31"/>
      <c r="F4" s="31"/>
      <c r="G4" s="146" t="s">
        <v>820</v>
      </c>
      <c r="H4" s="555">
        <v>0</v>
      </c>
      <c r="I4" s="31"/>
    </row>
    <row r="5" spans="3:14">
      <c r="C5" s="147" t="s">
        <v>821</v>
      </c>
      <c r="D5" s="555">
        <f>D4/D3*100</f>
        <v>0.77222222222222214</v>
      </c>
      <c r="E5" s="231">
        <v>8.5000000000000006E-2</v>
      </c>
      <c r="F5" s="145" t="s">
        <v>822</v>
      </c>
      <c r="G5" s="146" t="s">
        <v>823</v>
      </c>
      <c r="H5" s="615">
        <f>(H3+H4)*E5</f>
        <v>29.325000000000003</v>
      </c>
      <c r="I5" s="31"/>
    </row>
    <row r="6" spans="3:14">
      <c r="C6" s="147" t="s">
        <v>824</v>
      </c>
      <c r="D6" s="556">
        <f>(E6*D3)+D3</f>
        <v>189</v>
      </c>
      <c r="E6" s="231">
        <v>0.05</v>
      </c>
      <c r="F6" s="145" t="s">
        <v>825</v>
      </c>
      <c r="G6" s="31" t="s">
        <v>826</v>
      </c>
      <c r="H6" s="1322">
        <f>(H3*E6)+H3</f>
        <v>362.25</v>
      </c>
      <c r="I6" s="31"/>
      <c r="J6">
        <f>D4*0.2</f>
        <v>0.27799999999999997</v>
      </c>
      <c r="K6">
        <f>J6+D4</f>
        <v>1.6679999999999999</v>
      </c>
    </row>
    <row r="7" spans="3:14">
      <c r="C7" s="147" t="s">
        <v>827</v>
      </c>
      <c r="D7" s="555">
        <f>(D6/D3-1)*100</f>
        <v>5.0000000000000044</v>
      </c>
      <c r="E7" s="146" t="s">
        <v>828</v>
      </c>
      <c r="F7" s="31"/>
      <c r="G7" s="31" t="s">
        <v>829</v>
      </c>
      <c r="H7" s="555">
        <f>H3*E6</f>
        <v>17.25</v>
      </c>
      <c r="I7" s="31"/>
    </row>
    <row r="8" spans="3:14">
      <c r="C8" s="147" t="s">
        <v>830</v>
      </c>
      <c r="D8" s="556">
        <f>D6*E5</f>
        <v>16.065000000000001</v>
      </c>
      <c r="E8" s="31"/>
      <c r="F8" s="31"/>
      <c r="G8" s="31" t="s">
        <v>831</v>
      </c>
      <c r="H8" s="555">
        <f>H6*E5</f>
        <v>30.791250000000002</v>
      </c>
      <c r="I8" s="31"/>
    </row>
    <row r="9" spans="3:14">
      <c r="C9" s="48"/>
      <c r="D9" s="477"/>
      <c r="E9" s="30"/>
      <c r="F9" s="30"/>
      <c r="G9" s="30"/>
      <c r="H9" s="683"/>
      <c r="I9" s="30"/>
    </row>
    <row r="11" spans="3:14">
      <c r="C11" t="s">
        <v>832</v>
      </c>
    </row>
    <row r="12" spans="3:14">
      <c r="C12" t="s">
        <v>833</v>
      </c>
    </row>
    <row r="13" spans="3:14">
      <c r="C13" t="s">
        <v>834</v>
      </c>
      <c r="H13" s="685"/>
    </row>
    <row r="14" spans="3:14">
      <c r="C14" s="160"/>
      <c r="D14" s="536" t="s">
        <v>355</v>
      </c>
      <c r="E14" s="160" t="s">
        <v>362</v>
      </c>
      <c r="F14" s="160" t="s">
        <v>348</v>
      </c>
      <c r="H14" s="684">
        <v>152</v>
      </c>
      <c r="I14">
        <v>1185</v>
      </c>
    </row>
    <row r="15" spans="3:14">
      <c r="C15" s="159" t="s">
        <v>835</v>
      </c>
      <c r="D15" s="537">
        <v>0.4</v>
      </c>
      <c r="E15" s="166">
        <v>0.35</v>
      </c>
      <c r="F15" s="166">
        <v>0.25</v>
      </c>
      <c r="H15" s="684">
        <f>I14/H14</f>
        <v>7.7960526315789478</v>
      </c>
    </row>
    <row r="16" spans="3:14">
      <c r="C16" s="159" t="s">
        <v>836</v>
      </c>
      <c r="D16" s="537"/>
      <c r="E16" s="83"/>
      <c r="F16" s="83"/>
    </row>
    <row r="17" spans="3:8">
      <c r="C17" s="159" t="s">
        <v>837</v>
      </c>
      <c r="D17" s="537"/>
      <c r="E17" s="83"/>
      <c r="F17" s="83"/>
    </row>
    <row r="18" spans="3:8">
      <c r="C18" s="159" t="s">
        <v>838</v>
      </c>
      <c r="D18" s="537"/>
      <c r="E18" s="83"/>
      <c r="F18" s="83"/>
    </row>
    <row r="19" spans="3:8">
      <c r="C19" s="159" t="s">
        <v>839</v>
      </c>
      <c r="D19" s="537"/>
      <c r="E19" s="83"/>
      <c r="F19" s="83"/>
    </row>
    <row r="20" spans="3:8">
      <c r="C20" s="159" t="s">
        <v>840</v>
      </c>
      <c r="D20" s="537"/>
      <c r="E20" s="83"/>
      <c r="F20" s="83"/>
    </row>
    <row r="21" spans="3:8">
      <c r="C21" s="159" t="s">
        <v>841</v>
      </c>
      <c r="D21" s="537"/>
      <c r="E21" s="83"/>
      <c r="F21" s="83"/>
    </row>
    <row r="22" spans="3:8">
      <c r="C22" s="159" t="s">
        <v>842</v>
      </c>
      <c r="D22" s="537"/>
      <c r="E22" s="83"/>
      <c r="F22" s="83"/>
    </row>
    <row r="23" spans="3:8">
      <c r="C23" s="159" t="s">
        <v>843</v>
      </c>
      <c r="D23" s="537"/>
      <c r="E23" s="83"/>
      <c r="F23" s="83"/>
    </row>
    <row r="26" spans="3:8">
      <c r="F26" s="18"/>
      <c r="G26" s="18" t="s">
        <v>844</v>
      </c>
      <c r="H26" s="1410" t="s">
        <v>845</v>
      </c>
    </row>
    <row r="27" spans="3:8">
      <c r="C27" s="1389" t="s">
        <v>846</v>
      </c>
      <c r="D27" s="1390">
        <v>0</v>
      </c>
      <c r="E27" s="1398" t="s">
        <v>847</v>
      </c>
      <c r="F27" s="1" t="s">
        <v>848</v>
      </c>
      <c r="G27" s="674">
        <v>72000</v>
      </c>
      <c r="H27" s="1392">
        <f>G27*80</f>
        <v>5760000</v>
      </c>
    </row>
    <row r="28" spans="3:8">
      <c r="C28" s="1389"/>
      <c r="D28" s="1390"/>
      <c r="E28" s="1398"/>
      <c r="F28" s="1" t="s">
        <v>849</v>
      </c>
      <c r="G28" s="674"/>
      <c r="H28" s="1392">
        <v>700000</v>
      </c>
    </row>
    <row r="29" spans="3:8">
      <c r="C29" s="1389" t="s">
        <v>846</v>
      </c>
      <c r="D29" s="1390">
        <v>0</v>
      </c>
      <c r="E29" s="1398" t="s">
        <v>850</v>
      </c>
      <c r="F29" s="1" t="s">
        <v>851</v>
      </c>
      <c r="G29" s="674">
        <v>60000</v>
      </c>
      <c r="H29" s="1392">
        <f t="shared" ref="H29" si="0">G29*80</f>
        <v>4800000</v>
      </c>
    </row>
    <row r="30" spans="3:8">
      <c r="C30" s="1391" t="s">
        <v>852</v>
      </c>
      <c r="D30" s="1390">
        <v>0</v>
      </c>
      <c r="E30" s="1398" t="s">
        <v>853</v>
      </c>
      <c r="F30" s="1" t="s">
        <v>854</v>
      </c>
      <c r="G30" s="674">
        <v>35000</v>
      </c>
      <c r="H30" s="1392">
        <f>G30*80</f>
        <v>2800000</v>
      </c>
    </row>
    <row r="31" spans="3:8">
      <c r="C31" s="1403" t="s">
        <v>855</v>
      </c>
      <c r="D31" s="1404">
        <v>0</v>
      </c>
      <c r="E31" s="1399">
        <v>0</v>
      </c>
      <c r="F31" s="260" t="s">
        <v>856</v>
      </c>
      <c r="G31" s="1411">
        <v>4500</v>
      </c>
      <c r="H31" s="1392">
        <f>G31*80</f>
        <v>360000</v>
      </c>
    </row>
    <row r="32" spans="3:8">
      <c r="C32" s="644" t="s">
        <v>857</v>
      </c>
      <c r="D32" s="1396">
        <v>3000</v>
      </c>
      <c r="E32" s="1400">
        <f>D32*3</f>
        <v>9000</v>
      </c>
      <c r="F32" s="1" t="s">
        <v>858</v>
      </c>
      <c r="G32" s="1"/>
      <c r="H32" s="1392">
        <v>8000000</v>
      </c>
    </row>
    <row r="33" spans="3:9" ht="23.25" customHeight="1">
      <c r="C33" s="644" t="s">
        <v>859</v>
      </c>
      <c r="D33" s="1396">
        <v>3000</v>
      </c>
      <c r="E33" s="1400">
        <f>D33*12</f>
        <v>36000</v>
      </c>
      <c r="F33" s="1" t="s">
        <v>860</v>
      </c>
      <c r="G33" s="1"/>
      <c r="I33" s="1392">
        <v>4000000</v>
      </c>
    </row>
    <row r="34" spans="3:9" ht="72.599999999999994">
      <c r="C34" s="644" t="s">
        <v>861</v>
      </c>
      <c r="D34" s="1396">
        <v>3000</v>
      </c>
      <c r="E34" s="1400">
        <f>D34*12</f>
        <v>36000</v>
      </c>
      <c r="F34" s="379" t="s">
        <v>862</v>
      </c>
      <c r="G34" s="1">
        <v>18520</v>
      </c>
      <c r="H34" s="2">
        <f>G34*30.73</f>
        <v>569119.6</v>
      </c>
    </row>
    <row r="35" spans="3:9">
      <c r="C35" s="644" t="s">
        <v>863</v>
      </c>
      <c r="D35" s="1396">
        <v>3000</v>
      </c>
      <c r="E35" s="1400">
        <f>D35*12</f>
        <v>36000</v>
      </c>
      <c r="F35" s="1" t="s">
        <v>864</v>
      </c>
      <c r="G35" s="1"/>
      <c r="H35" s="2">
        <v>900000</v>
      </c>
    </row>
    <row r="36" spans="3:9">
      <c r="C36" s="18" t="s">
        <v>865</v>
      </c>
      <c r="D36" s="1395"/>
      <c r="E36" s="1397">
        <f>SUM(E31:E35)</f>
        <v>117000</v>
      </c>
      <c r="F36" s="1106" t="s">
        <v>866</v>
      </c>
      <c r="G36" s="1106"/>
      <c r="H36" s="1405">
        <f>SUM(H27:H35)</f>
        <v>23889119.600000001</v>
      </c>
    </row>
    <row r="37" spans="3:9">
      <c r="C37" s="1393"/>
      <c r="D37" s="1401"/>
      <c r="E37" s="1402"/>
      <c r="F37" s="1406" t="s">
        <v>867</v>
      </c>
      <c r="G37" s="1406"/>
      <c r="H37" s="1407">
        <f>E36*80</f>
        <v>9360000</v>
      </c>
    </row>
    <row r="38" spans="3:9">
      <c r="C38" s="1393"/>
      <c r="D38" s="1394"/>
      <c r="E38" s="1394"/>
    </row>
    <row r="39" spans="3:9">
      <c r="F39" s="1408" t="s">
        <v>868</v>
      </c>
      <c r="G39" s="1408"/>
      <c r="H39" s="1409">
        <f>SUM(H36:H37)</f>
        <v>33249119.600000001</v>
      </c>
    </row>
    <row r="58" spans="3:5" ht="257.10000000000002" customHeight="1">
      <c r="C58" s="156" t="s">
        <v>869</v>
      </c>
      <c r="D58" s="1629" t="s">
        <v>870</v>
      </c>
      <c r="E58" s="156" t="s">
        <v>871</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450618-D32E-48CC-9365-DE1B2D9365B2}">
  <dimension ref="A1"/>
  <sheetViews>
    <sheetView topLeftCell="A19" workbookViewId="0">
      <selection activeCell="N34" sqref="N34"/>
    </sheetView>
  </sheetViews>
  <sheetFormatPr defaultRowHeight="14.45"/>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0728F0-DD62-4799-850C-771E205D9D87}">
  <dimension ref="A1:AF42"/>
  <sheetViews>
    <sheetView zoomScale="110" zoomScaleNormal="110" workbookViewId="0">
      <pane xSplit="2" topLeftCell="C1" activePane="topRight" state="frozen"/>
      <selection pane="topRight" activeCell="B25" sqref="B25"/>
      <selection activeCell="B1" sqref="B1"/>
    </sheetView>
  </sheetViews>
  <sheetFormatPr defaultRowHeight="14.45"/>
  <cols>
    <col min="1" max="1" width="3.7109375" customWidth="1"/>
    <col min="2" max="2" width="32.42578125" style="156" customWidth="1"/>
    <col min="7" max="7" width="8.7109375" style="1297"/>
    <col min="8" max="8" width="8.7109375" style="1299"/>
    <col min="10" max="10" width="12.42578125" customWidth="1"/>
    <col min="11" max="11" width="12.7109375" customWidth="1"/>
    <col min="12" max="12" width="185.28515625" style="156" customWidth="1"/>
    <col min="13" max="13" width="92.28515625" customWidth="1"/>
  </cols>
  <sheetData>
    <row r="1" spans="1:32" s="30" customFormat="1" ht="50.1" customHeight="1">
      <c r="A1" s="1267" t="s">
        <v>0</v>
      </c>
      <c r="B1" s="1265" t="s">
        <v>1</v>
      </c>
      <c r="C1" s="1265" t="s">
        <v>2</v>
      </c>
      <c r="D1" s="1265" t="s">
        <v>3</v>
      </c>
      <c r="E1" s="1268" t="s">
        <v>4</v>
      </c>
      <c r="F1" s="1269" t="s">
        <v>5</v>
      </c>
      <c r="G1" s="1292" t="s">
        <v>6</v>
      </c>
      <c r="H1" s="1294" t="s">
        <v>7</v>
      </c>
      <c r="I1" s="1270" t="s">
        <v>8</v>
      </c>
      <c r="J1" s="1271" t="s">
        <v>9</v>
      </c>
      <c r="K1" s="1271" t="s">
        <v>10</v>
      </c>
      <c r="L1" s="1272" t="s">
        <v>12</v>
      </c>
      <c r="M1" s="837"/>
      <c r="N1" s="837"/>
      <c r="O1" s="837"/>
      <c r="P1" s="837"/>
      <c r="Q1" s="837"/>
      <c r="R1" s="837"/>
      <c r="S1" s="837"/>
      <c r="T1" s="837"/>
      <c r="U1" s="837"/>
      <c r="V1" s="837"/>
      <c r="W1" s="837"/>
      <c r="X1" s="837"/>
      <c r="Y1" s="837"/>
      <c r="Z1" s="837"/>
      <c r="AA1" s="837"/>
      <c r="AB1" s="837"/>
      <c r="AC1" s="837"/>
      <c r="AD1" s="837"/>
      <c r="AE1" s="837"/>
      <c r="AF1" s="209"/>
    </row>
    <row r="2" spans="1:32" s="180" customFormat="1" ht="65.099999999999994" customHeight="1">
      <c r="A2" s="1258">
        <v>1</v>
      </c>
      <c r="B2" s="1266" t="s">
        <v>872</v>
      </c>
      <c r="C2" s="1259">
        <v>603</v>
      </c>
      <c r="D2" s="1259">
        <v>7.1</v>
      </c>
      <c r="E2" s="1260">
        <v>560</v>
      </c>
      <c r="F2" s="1261">
        <f t="shared" ref="F2:F3" si="0">D2*E2</f>
        <v>3976</v>
      </c>
      <c r="G2" s="1296">
        <v>600</v>
      </c>
      <c r="H2" s="1298">
        <f>D2</f>
        <v>7.1</v>
      </c>
      <c r="I2" s="1262">
        <f t="shared" ref="I2:I3" si="1">G2*H2</f>
        <v>4260</v>
      </c>
      <c r="J2" s="1263">
        <f t="shared" ref="J2:J3" si="2">I2/F2-1</f>
        <v>7.1428571428571397E-2</v>
      </c>
      <c r="K2" s="1264">
        <f t="shared" ref="K2:K3" si="3">C2*(1+J2)</f>
        <v>646.07142857142856</v>
      </c>
      <c r="L2" s="1273" t="s">
        <v>873</v>
      </c>
      <c r="M2" s="219"/>
      <c r="N2" s="219"/>
      <c r="O2" s="219"/>
      <c r="P2" s="219"/>
      <c r="Q2" s="219"/>
      <c r="R2" s="219"/>
      <c r="S2" s="219"/>
      <c r="T2" s="219"/>
      <c r="U2" s="219"/>
      <c r="V2" s="219"/>
      <c r="W2" s="219"/>
      <c r="X2" s="219"/>
      <c r="Y2" s="219"/>
      <c r="Z2" s="219"/>
      <c r="AA2" s="219"/>
      <c r="AB2" s="219"/>
      <c r="AC2" s="219"/>
      <c r="AD2" s="219"/>
      <c r="AE2" s="219"/>
      <c r="AF2" s="1277"/>
    </row>
    <row r="3" spans="1:32" s="180" customFormat="1" ht="78" customHeight="1">
      <c r="A3" s="1258">
        <v>2</v>
      </c>
      <c r="B3" s="1266" t="s">
        <v>872</v>
      </c>
      <c r="C3" s="1259">
        <v>603</v>
      </c>
      <c r="D3" s="1259">
        <v>7.1</v>
      </c>
      <c r="E3" s="1260">
        <v>560</v>
      </c>
      <c r="F3" s="1261">
        <f t="shared" si="0"/>
        <v>3976</v>
      </c>
      <c r="G3" s="1296">
        <v>600</v>
      </c>
      <c r="H3" s="1298">
        <v>9</v>
      </c>
      <c r="I3" s="1262">
        <f t="shared" si="1"/>
        <v>5400</v>
      </c>
      <c r="J3" s="1263">
        <f t="shared" si="2"/>
        <v>0.35814889336016087</v>
      </c>
      <c r="K3" s="1264">
        <f t="shared" si="3"/>
        <v>818.96378269617696</v>
      </c>
      <c r="L3" s="1274" t="s">
        <v>874</v>
      </c>
      <c r="M3" s="219"/>
      <c r="N3" s="219"/>
      <c r="O3" s="219"/>
      <c r="P3" s="219"/>
      <c r="Q3" s="219"/>
      <c r="R3" s="219"/>
      <c r="S3" s="219"/>
      <c r="T3" s="219"/>
      <c r="U3" s="219"/>
      <c r="V3" s="219"/>
      <c r="W3" s="219"/>
      <c r="X3" s="219"/>
      <c r="Y3" s="219"/>
      <c r="Z3" s="219"/>
      <c r="AA3" s="219"/>
      <c r="AB3" s="219"/>
      <c r="AC3" s="219"/>
      <c r="AD3" s="219"/>
      <c r="AE3" s="219"/>
      <c r="AF3" s="1277"/>
    </row>
    <row r="4" spans="1:32" s="456" customFormat="1" ht="60.75" customHeight="1">
      <c r="A4" s="1279">
        <v>1</v>
      </c>
      <c r="B4" s="1265" t="s">
        <v>875</v>
      </c>
      <c r="C4" s="1280">
        <v>564</v>
      </c>
      <c r="D4" s="1280">
        <v>9</v>
      </c>
      <c r="E4" s="1281">
        <v>249</v>
      </c>
      <c r="F4" s="1282">
        <f t="shared" ref="F4:F11" si="4">D4*E4</f>
        <v>2241</v>
      </c>
      <c r="G4" s="1296">
        <v>275</v>
      </c>
      <c r="H4" s="1298">
        <f>D4</f>
        <v>9</v>
      </c>
      <c r="I4" s="1283">
        <f t="shared" ref="I4:I9" si="5">G4*H4</f>
        <v>2475</v>
      </c>
      <c r="J4" s="1284">
        <f t="shared" ref="J4:J9" si="6">I4/F4-1</f>
        <v>0.10441767068273089</v>
      </c>
      <c r="K4" s="1285">
        <f t="shared" ref="K4:K9" si="7">C4*(1+J4)</f>
        <v>622.89156626506019</v>
      </c>
      <c r="L4" s="1286" t="s">
        <v>876</v>
      </c>
      <c r="M4" s="219"/>
      <c r="N4" s="219"/>
      <c r="O4" s="219"/>
      <c r="P4" s="219"/>
      <c r="Q4" s="219"/>
      <c r="R4" s="219"/>
      <c r="S4" s="219"/>
      <c r="T4" s="219"/>
      <c r="U4" s="219"/>
      <c r="V4" s="219"/>
      <c r="W4" s="219"/>
      <c r="X4" s="219"/>
      <c r="Y4" s="219"/>
      <c r="Z4" s="219"/>
      <c r="AA4" s="219"/>
      <c r="AB4" s="1287"/>
      <c r="AC4" s="1287"/>
      <c r="AD4" s="1287"/>
      <c r="AE4" s="1287"/>
      <c r="AF4" s="1288"/>
    </row>
    <row r="5" spans="1:32" s="456" customFormat="1" ht="38.1" customHeight="1">
      <c r="A5" s="1279">
        <v>2</v>
      </c>
      <c r="B5" s="1265" t="s">
        <v>875</v>
      </c>
      <c r="C5" s="1280">
        <v>564</v>
      </c>
      <c r="D5" s="1280">
        <v>9</v>
      </c>
      <c r="E5" s="1281">
        <v>249</v>
      </c>
      <c r="F5" s="1282">
        <f t="shared" si="4"/>
        <v>2241</v>
      </c>
      <c r="G5" s="1296">
        <v>275</v>
      </c>
      <c r="H5" s="1298">
        <v>10</v>
      </c>
      <c r="I5" s="1283">
        <f>G5*H5</f>
        <v>2750</v>
      </c>
      <c r="J5" s="1284">
        <f t="shared" si="6"/>
        <v>0.22713074520303445</v>
      </c>
      <c r="K5" s="1285">
        <f t="shared" si="7"/>
        <v>692.10174029451139</v>
      </c>
      <c r="L5" s="1289"/>
      <c r="M5" s="219"/>
      <c r="N5" s="219"/>
      <c r="O5" s="219"/>
      <c r="P5" s="219"/>
      <c r="Q5" s="219"/>
      <c r="R5" s="219"/>
      <c r="S5" s="219"/>
      <c r="T5" s="219"/>
      <c r="U5" s="219"/>
      <c r="V5" s="219"/>
      <c r="W5" s="219"/>
      <c r="X5" s="219"/>
      <c r="Y5" s="219"/>
      <c r="Z5" s="219"/>
      <c r="AA5" s="219"/>
      <c r="AB5" s="1287"/>
      <c r="AC5" s="1287"/>
      <c r="AD5" s="1287"/>
      <c r="AE5" s="1287"/>
      <c r="AF5" s="1288"/>
    </row>
    <row r="6" spans="1:32" s="180" customFormat="1" ht="66" customHeight="1">
      <c r="A6" s="1258">
        <v>1</v>
      </c>
      <c r="B6" s="1266" t="s">
        <v>877</v>
      </c>
      <c r="C6" s="1259">
        <v>446</v>
      </c>
      <c r="D6" s="1259">
        <v>7.93</v>
      </c>
      <c r="E6" s="1260">
        <v>961</v>
      </c>
      <c r="F6" s="1261">
        <f t="shared" si="4"/>
        <v>7620.73</v>
      </c>
      <c r="G6" s="1296">
        <v>1000</v>
      </c>
      <c r="H6" s="1298">
        <f>D6</f>
        <v>7.93</v>
      </c>
      <c r="I6" s="1262">
        <f t="shared" si="5"/>
        <v>7930</v>
      </c>
      <c r="J6" s="1263">
        <f t="shared" si="6"/>
        <v>4.058272632674309E-2</v>
      </c>
      <c r="K6" s="1264">
        <f t="shared" si="7"/>
        <v>464.09989594172742</v>
      </c>
      <c r="L6" s="1300" t="s">
        <v>878</v>
      </c>
      <c r="M6" s="219"/>
      <c r="N6" s="219"/>
      <c r="O6" s="219"/>
      <c r="P6" s="219"/>
      <c r="Q6" s="219"/>
      <c r="R6" s="219"/>
      <c r="S6" s="219"/>
      <c r="T6" s="219"/>
      <c r="U6" s="219"/>
      <c r="V6" s="219"/>
      <c r="W6" s="219"/>
      <c r="X6" s="219"/>
      <c r="Y6" s="219"/>
      <c r="Z6" s="219"/>
      <c r="AA6" s="219"/>
      <c r="AB6" s="219"/>
      <c r="AC6" s="219"/>
      <c r="AD6" s="219"/>
      <c r="AE6" s="219"/>
      <c r="AF6" s="1277"/>
    </row>
    <row r="7" spans="1:32" s="180" customFormat="1" ht="38.1" customHeight="1">
      <c r="A7" s="1258">
        <v>2</v>
      </c>
      <c r="B7" s="1266" t="s">
        <v>877</v>
      </c>
      <c r="C7" s="1259">
        <v>446</v>
      </c>
      <c r="D7" s="1259">
        <v>7.93</v>
      </c>
      <c r="E7" s="1260">
        <v>961</v>
      </c>
      <c r="F7" s="1261">
        <f t="shared" si="4"/>
        <v>7620.73</v>
      </c>
      <c r="G7" s="1296">
        <v>1000</v>
      </c>
      <c r="H7" s="1298">
        <v>9</v>
      </c>
      <c r="I7" s="1262">
        <f t="shared" si="5"/>
        <v>9000</v>
      </c>
      <c r="J7" s="1263">
        <f t="shared" si="6"/>
        <v>0.18098922281723673</v>
      </c>
      <c r="K7" s="1264">
        <f t="shared" si="7"/>
        <v>526.72119337648758</v>
      </c>
      <c r="L7" s="1275"/>
      <c r="M7" s="219"/>
      <c r="N7" s="219"/>
      <c r="O7" s="219"/>
      <c r="P7" s="219"/>
      <c r="Q7" s="219"/>
      <c r="R7" s="219"/>
      <c r="S7" s="219"/>
      <c r="T7" s="219"/>
      <c r="U7" s="219"/>
      <c r="V7" s="219"/>
      <c r="W7" s="219"/>
      <c r="X7" s="219"/>
      <c r="Y7" s="219"/>
      <c r="Z7" s="219"/>
      <c r="AA7" s="219"/>
      <c r="AB7" s="219"/>
      <c r="AC7" s="219"/>
      <c r="AD7" s="219"/>
      <c r="AE7" s="219"/>
      <c r="AF7" s="1277"/>
    </row>
    <row r="8" spans="1:32" s="295" customFormat="1" ht="101.85" customHeight="1">
      <c r="A8" s="1290">
        <v>1</v>
      </c>
      <c r="B8" s="34" t="s">
        <v>879</v>
      </c>
      <c r="C8" s="456">
        <v>498</v>
      </c>
      <c r="D8" s="456">
        <v>20</v>
      </c>
      <c r="E8" s="456">
        <v>112</v>
      </c>
      <c r="F8" s="1193">
        <f t="shared" si="4"/>
        <v>2240</v>
      </c>
      <c r="G8" s="1293">
        <v>130</v>
      </c>
      <c r="H8" s="1295">
        <f>D8</f>
        <v>20</v>
      </c>
      <c r="I8" s="1194">
        <f t="shared" si="5"/>
        <v>2600</v>
      </c>
      <c r="J8" s="1035">
        <v>0.03</v>
      </c>
      <c r="K8" s="1051">
        <f t="shared" si="7"/>
        <v>512.94000000000005</v>
      </c>
      <c r="L8" s="1276" t="s">
        <v>880</v>
      </c>
      <c r="M8"/>
      <c r="N8"/>
      <c r="O8"/>
      <c r="P8"/>
      <c r="Q8"/>
      <c r="R8"/>
      <c r="S8"/>
      <c r="T8"/>
      <c r="U8"/>
      <c r="V8"/>
      <c r="W8"/>
      <c r="X8"/>
      <c r="Y8"/>
      <c r="Z8"/>
      <c r="AA8"/>
    </row>
    <row r="9" spans="1:32" s="295" customFormat="1" ht="59.1" customHeight="1">
      <c r="A9" s="1290">
        <v>2</v>
      </c>
      <c r="B9" s="34" t="s">
        <v>879</v>
      </c>
      <c r="C9" s="456">
        <v>498</v>
      </c>
      <c r="D9" s="456">
        <v>20</v>
      </c>
      <c r="E9" s="456">
        <v>112</v>
      </c>
      <c r="F9" s="1193">
        <f t="shared" si="4"/>
        <v>2240</v>
      </c>
      <c r="G9" s="1293">
        <v>125</v>
      </c>
      <c r="H9" s="1295">
        <v>25</v>
      </c>
      <c r="I9" s="1194">
        <f t="shared" si="5"/>
        <v>3125</v>
      </c>
      <c r="J9" s="1035">
        <f t="shared" si="6"/>
        <v>0.39508928571428581</v>
      </c>
      <c r="K9" s="1051">
        <f t="shared" si="7"/>
        <v>694.75446428571433</v>
      </c>
      <c r="L9" s="1276" t="s">
        <v>881</v>
      </c>
      <c r="M9"/>
      <c r="N9"/>
      <c r="O9"/>
      <c r="P9"/>
      <c r="Q9"/>
      <c r="R9"/>
      <c r="S9"/>
      <c r="T9"/>
      <c r="U9"/>
      <c r="V9"/>
      <c r="W9"/>
      <c r="X9"/>
      <c r="Y9"/>
      <c r="Z9"/>
      <c r="AA9"/>
    </row>
    <row r="10" spans="1:32" s="203" customFormat="1" ht="78.75" customHeight="1">
      <c r="A10" s="1278">
        <v>1</v>
      </c>
      <c r="B10" s="176" t="s">
        <v>295</v>
      </c>
      <c r="C10" s="175">
        <v>1598</v>
      </c>
      <c r="D10" s="175">
        <v>28.9</v>
      </c>
      <c r="E10" s="175">
        <v>361</v>
      </c>
      <c r="F10" s="742">
        <f t="shared" si="4"/>
        <v>10432.9</v>
      </c>
      <c r="G10" s="1293">
        <v>400</v>
      </c>
      <c r="H10" s="1295">
        <f>D10</f>
        <v>28.9</v>
      </c>
      <c r="I10" s="735">
        <f t="shared" ref="I10" si="8">G10*H10</f>
        <v>11560</v>
      </c>
      <c r="J10" s="1026">
        <f t="shared" ref="J10" si="9">I10/F10-1</f>
        <v>0.10803324099723</v>
      </c>
      <c r="K10" s="1042">
        <f t="shared" ref="K10" si="10">C10*(1+J10)</f>
        <v>1770.6371191135736</v>
      </c>
      <c r="L10" s="1291" t="s">
        <v>341</v>
      </c>
      <c r="M10"/>
      <c r="N10"/>
      <c r="O10"/>
      <c r="P10"/>
      <c r="Q10"/>
      <c r="R10"/>
      <c r="S10"/>
      <c r="T10"/>
      <c r="U10"/>
      <c r="V10"/>
      <c r="W10"/>
      <c r="X10"/>
      <c r="Y10"/>
      <c r="Z10"/>
      <c r="AA10"/>
    </row>
    <row r="11" spans="1:32" s="203" customFormat="1" ht="110.1" customHeight="1">
      <c r="A11" s="1278">
        <v>2</v>
      </c>
      <c r="B11" s="176" t="s">
        <v>295</v>
      </c>
      <c r="C11" s="175">
        <v>1598</v>
      </c>
      <c r="D11" s="175">
        <v>28.9</v>
      </c>
      <c r="E11" s="175">
        <v>361</v>
      </c>
      <c r="F11" s="742">
        <f t="shared" si="4"/>
        <v>10432.9</v>
      </c>
      <c r="G11" s="1293">
        <v>400</v>
      </c>
      <c r="H11" s="1295">
        <v>30</v>
      </c>
      <c r="I11" s="719">
        <f>G11*H11</f>
        <v>12000</v>
      </c>
      <c r="J11" s="1026">
        <f>I11/F11-1</f>
        <v>0.15020751660612097</v>
      </c>
      <c r="K11" s="1042">
        <f>C11*(1+J11)</f>
        <v>1838.0316115365813</v>
      </c>
      <c r="L11" s="1291" t="s">
        <v>297</v>
      </c>
      <c r="M11"/>
      <c r="N11"/>
      <c r="O11"/>
      <c r="P11"/>
      <c r="Q11"/>
      <c r="R11"/>
      <c r="S11"/>
      <c r="T11"/>
      <c r="U11"/>
      <c r="V11"/>
      <c r="W11"/>
      <c r="X11"/>
      <c r="Y11"/>
      <c r="Z11"/>
      <c r="AA11"/>
    </row>
    <row r="12" spans="1:32" s="1301" customFormat="1">
      <c r="B12" s="1302"/>
      <c r="G12" s="1303"/>
      <c r="H12" s="1303"/>
      <c r="L12" s="1302"/>
      <c r="M12"/>
      <c r="N12"/>
      <c r="O12"/>
      <c r="P12"/>
      <c r="Q12"/>
      <c r="R12"/>
      <c r="S12"/>
      <c r="T12"/>
      <c r="U12"/>
      <c r="V12"/>
      <c r="W12"/>
      <c r="X12"/>
      <c r="Y12"/>
      <c r="Z12"/>
      <c r="AA12"/>
    </row>
    <row r="13" spans="1:32" s="392" customFormat="1" ht="137.1" customHeight="1">
      <c r="A13" s="531">
        <v>1</v>
      </c>
      <c r="B13" s="46" t="s">
        <v>53</v>
      </c>
      <c r="C13" s="531">
        <v>515</v>
      </c>
      <c r="D13" s="697">
        <v>182</v>
      </c>
      <c r="E13" s="531">
        <v>18.600000000000001</v>
      </c>
      <c r="F13" s="533">
        <v>3385.2000000000003</v>
      </c>
      <c r="G13" s="531">
        <v>78</v>
      </c>
      <c r="H13" s="515">
        <v>64</v>
      </c>
      <c r="I13" s="531">
        <v>4992</v>
      </c>
      <c r="J13" s="532">
        <v>0.47465437788018416</v>
      </c>
      <c r="K13" s="533">
        <v>759.44700460829483</v>
      </c>
      <c r="L13" s="1304" t="s">
        <v>347</v>
      </c>
      <c r="M13" s="645"/>
      <c r="N13" s="645"/>
      <c r="O13" s="645"/>
      <c r="P13" s="645"/>
      <c r="Q13" s="645"/>
      <c r="R13" s="645"/>
      <c r="S13" s="645"/>
      <c r="T13" s="645"/>
      <c r="U13" s="645"/>
      <c r="V13" s="645"/>
      <c r="W13" s="645"/>
      <c r="X13" s="645"/>
      <c r="Y13" s="645"/>
      <c r="Z13" s="645"/>
      <c r="AA13" s="645"/>
      <c r="AB13" s="1306"/>
    </row>
    <row r="14" spans="1:32" s="392" customFormat="1" ht="175.35" customHeight="1">
      <c r="A14" s="531">
        <v>2</v>
      </c>
      <c r="B14" s="46" t="s">
        <v>53</v>
      </c>
      <c r="C14" s="531">
        <v>515</v>
      </c>
      <c r="D14" s="697">
        <v>182</v>
      </c>
      <c r="E14" s="531">
        <v>18.600000000000001</v>
      </c>
      <c r="F14" s="533">
        <v>3385.2000000000003</v>
      </c>
      <c r="G14" s="531">
        <v>78</v>
      </c>
      <c r="H14" s="515">
        <v>75</v>
      </c>
      <c r="I14" s="531">
        <v>5850</v>
      </c>
      <c r="J14" s="532">
        <v>0.72811059907834097</v>
      </c>
      <c r="K14" s="533">
        <v>889.97695852534559</v>
      </c>
      <c r="L14" s="1304" t="s">
        <v>350</v>
      </c>
      <c r="M14" s="645"/>
      <c r="N14" s="645"/>
      <c r="O14" s="645"/>
      <c r="P14" s="645"/>
      <c r="Q14" s="645"/>
      <c r="R14" s="645"/>
      <c r="S14" s="645"/>
      <c r="T14" s="645"/>
      <c r="U14" s="645"/>
      <c r="V14" s="645"/>
      <c r="W14" s="645"/>
      <c r="X14" s="645"/>
      <c r="Y14" s="645"/>
      <c r="Z14" s="645"/>
      <c r="AA14" s="645"/>
      <c r="AB14" s="1306"/>
    </row>
    <row r="15" spans="1:32" ht="191.45">
      <c r="A15" s="521">
        <v>1</v>
      </c>
      <c r="B15" s="376" t="s">
        <v>264</v>
      </c>
      <c r="C15" s="521">
        <v>5025</v>
      </c>
      <c r="D15" s="701">
        <v>154</v>
      </c>
      <c r="E15" s="521">
        <v>210</v>
      </c>
      <c r="F15" s="523">
        <f t="shared" ref="F15:F20" si="11">D15*E15</f>
        <v>32340</v>
      </c>
      <c r="G15" s="531">
        <v>300</v>
      </c>
      <c r="H15" s="515">
        <v>120</v>
      </c>
      <c r="I15" s="521">
        <f t="shared" ref="I15:I20" si="12">G15*H15</f>
        <v>36000</v>
      </c>
      <c r="J15" s="522">
        <f t="shared" ref="J15:J20" si="13">I15/F15-1</f>
        <v>0.1131725417439704</v>
      </c>
      <c r="K15" s="523">
        <f t="shared" ref="K15:K20" si="14">C15*(1+J15)</f>
        <v>5593.6920222634517</v>
      </c>
      <c r="L15" s="1305" t="s">
        <v>372</v>
      </c>
    </row>
    <row r="16" spans="1:32" ht="104.1">
      <c r="A16" s="521">
        <v>2</v>
      </c>
      <c r="B16" s="376" t="s">
        <v>264</v>
      </c>
      <c r="C16" s="521">
        <v>5025</v>
      </c>
      <c r="D16" s="701">
        <v>154</v>
      </c>
      <c r="E16" s="521">
        <v>210</v>
      </c>
      <c r="F16" s="523">
        <f t="shared" si="11"/>
        <v>32340</v>
      </c>
      <c r="G16" s="531">
        <v>300</v>
      </c>
      <c r="H16" s="515">
        <v>140</v>
      </c>
      <c r="I16" s="521">
        <f t="shared" si="12"/>
        <v>42000</v>
      </c>
      <c r="J16" s="554">
        <f t="shared" si="13"/>
        <v>0.29870129870129869</v>
      </c>
      <c r="K16" s="523">
        <f t="shared" si="14"/>
        <v>6525.9740259740256</v>
      </c>
      <c r="L16" s="377" t="s">
        <v>266</v>
      </c>
    </row>
    <row r="17" spans="1:13" ht="195.75" customHeight="1">
      <c r="A17" s="460">
        <v>1</v>
      </c>
      <c r="B17" s="34" t="s">
        <v>229</v>
      </c>
      <c r="C17" s="460">
        <v>1877</v>
      </c>
      <c r="D17" s="460">
        <v>103</v>
      </c>
      <c r="E17" s="460">
        <v>161</v>
      </c>
      <c r="F17" s="461">
        <f t="shared" si="11"/>
        <v>16583</v>
      </c>
      <c r="G17" s="556">
        <v>225</v>
      </c>
      <c r="H17" s="604">
        <v>100</v>
      </c>
      <c r="I17" s="461">
        <f t="shared" si="12"/>
        <v>22500</v>
      </c>
      <c r="J17" s="231">
        <f t="shared" si="13"/>
        <v>0.35681119218476742</v>
      </c>
      <c r="K17" s="461">
        <f t="shared" si="14"/>
        <v>2546.7346077308084</v>
      </c>
      <c r="L17" s="494" t="s">
        <v>416</v>
      </c>
      <c r="M17" s="973" t="s">
        <v>417</v>
      </c>
    </row>
    <row r="18" spans="1:13" ht="96.75" customHeight="1">
      <c r="A18" s="460">
        <v>2</v>
      </c>
      <c r="B18" s="34" t="s">
        <v>229</v>
      </c>
      <c r="C18" s="460">
        <v>1877</v>
      </c>
      <c r="D18" s="460">
        <v>103</v>
      </c>
      <c r="E18" s="460">
        <v>161</v>
      </c>
      <c r="F18" s="461">
        <f t="shared" si="11"/>
        <v>16583</v>
      </c>
      <c r="G18" s="556">
        <v>225</v>
      </c>
      <c r="H18" s="604">
        <v>80</v>
      </c>
      <c r="I18" s="461">
        <f t="shared" si="12"/>
        <v>18000</v>
      </c>
      <c r="J18" s="231">
        <f t="shared" si="13"/>
        <v>8.5448953747814027E-2</v>
      </c>
      <c r="K18" s="461">
        <f t="shared" si="14"/>
        <v>2037.387686184647</v>
      </c>
      <c r="L18" s="494" t="s">
        <v>418</v>
      </c>
      <c r="M18" s="973" t="s">
        <v>419</v>
      </c>
    </row>
    <row r="19" spans="1:13" ht="87">
      <c r="A19" s="531">
        <v>1</v>
      </c>
      <c r="B19" s="46" t="s">
        <v>285</v>
      </c>
      <c r="C19" s="531">
        <v>7013</v>
      </c>
      <c r="D19" s="697">
        <v>43</v>
      </c>
      <c r="E19" s="531">
        <v>259</v>
      </c>
      <c r="F19" s="533">
        <f t="shared" si="11"/>
        <v>11137</v>
      </c>
      <c r="G19" s="531">
        <v>325</v>
      </c>
      <c r="H19" s="515">
        <v>30</v>
      </c>
      <c r="I19" s="531">
        <f t="shared" si="12"/>
        <v>9750</v>
      </c>
      <c r="J19" s="532">
        <f t="shared" si="13"/>
        <v>-0.12453982221424087</v>
      </c>
      <c r="K19" s="533">
        <f t="shared" si="14"/>
        <v>6139.6022268115285</v>
      </c>
      <c r="L19" s="369" t="s">
        <v>394</v>
      </c>
      <c r="M19" s="973" t="s">
        <v>395</v>
      </c>
    </row>
    <row r="20" spans="1:13" ht="115.5">
      <c r="A20" s="1312">
        <v>2</v>
      </c>
      <c r="B20" s="1313" t="s">
        <v>285</v>
      </c>
      <c r="C20" s="1312">
        <v>7013</v>
      </c>
      <c r="D20" s="1314">
        <v>43</v>
      </c>
      <c r="E20" s="1312">
        <v>259</v>
      </c>
      <c r="F20" s="1315">
        <f t="shared" si="11"/>
        <v>11137</v>
      </c>
      <c r="G20" s="1312">
        <v>320</v>
      </c>
      <c r="H20" s="1316">
        <v>40</v>
      </c>
      <c r="I20" s="1312">
        <f t="shared" si="12"/>
        <v>12800</v>
      </c>
      <c r="J20" s="1317">
        <f t="shared" si="13"/>
        <v>0.14932207955463772</v>
      </c>
      <c r="K20" s="1315">
        <f t="shared" si="14"/>
        <v>8060.1957439166745</v>
      </c>
      <c r="L20" s="1318" t="s">
        <v>396</v>
      </c>
      <c r="M20" s="1319"/>
    </row>
    <row r="21" spans="1:13" s="1360" customFormat="1">
      <c r="A21" s="521"/>
      <c r="B21" s="1311" t="s">
        <v>882</v>
      </c>
      <c r="C21" s="521"/>
      <c r="D21" s="701"/>
      <c r="E21" s="521"/>
      <c r="F21" s="523"/>
      <c r="G21" s="521"/>
      <c r="H21" s="521"/>
      <c r="I21" s="521"/>
      <c r="J21" s="522"/>
      <c r="K21" s="523"/>
      <c r="L21" s="1320"/>
      <c r="M21" s="1321"/>
    </row>
    <row r="22" spans="1:13" s="1360" customFormat="1">
      <c r="A22" s="521"/>
      <c r="B22" s="1311" t="s">
        <v>883</v>
      </c>
      <c r="C22" s="521"/>
      <c r="D22" s="701"/>
      <c r="E22" s="521"/>
      <c r="F22" s="523"/>
      <c r="G22" s="521"/>
      <c r="H22" s="521"/>
      <c r="I22" s="521"/>
      <c r="J22" s="522"/>
      <c r="K22" s="523"/>
      <c r="L22" s="1320"/>
      <c r="M22" s="1321"/>
    </row>
    <row r="23" spans="1:13" s="1360" customFormat="1">
      <c r="A23" s="521"/>
      <c r="B23" s="1311" t="s">
        <v>884</v>
      </c>
      <c r="C23" s="521"/>
      <c r="D23" s="701"/>
      <c r="E23" s="521"/>
      <c r="F23" s="523"/>
      <c r="G23" s="521"/>
      <c r="H23" s="521"/>
      <c r="I23" s="521"/>
      <c r="J23" s="522"/>
      <c r="K23" s="523"/>
      <c r="L23" s="1320"/>
      <c r="M23" s="1321"/>
    </row>
    <row r="24" spans="1:13" s="1360" customFormat="1">
      <c r="A24" s="521"/>
      <c r="B24" s="1311" t="s">
        <v>885</v>
      </c>
      <c r="C24" s="521"/>
      <c r="D24" s="701"/>
      <c r="E24" s="521"/>
      <c r="F24" s="523"/>
      <c r="G24" s="521"/>
      <c r="H24" s="521"/>
      <c r="I24" s="521"/>
      <c r="J24" s="522"/>
      <c r="K24" s="523"/>
      <c r="L24" s="1320"/>
      <c r="M24" s="1321"/>
    </row>
    <row r="25" spans="1:13" s="1362" customFormat="1">
      <c r="A25" s="1354"/>
      <c r="B25" s="1361" t="s">
        <v>886</v>
      </c>
      <c r="C25" s="1354"/>
      <c r="D25" s="1355"/>
      <c r="E25" s="1354"/>
      <c r="F25" s="1356"/>
      <c r="G25" s="1354"/>
      <c r="H25" s="1354"/>
      <c r="I25" s="1354"/>
      <c r="J25" s="1357"/>
      <c r="K25" s="1356"/>
      <c r="L25" s="1358"/>
      <c r="M25" s="1359"/>
    </row>
    <row r="26" spans="1:13" s="1362" customFormat="1">
      <c r="A26" s="1354"/>
      <c r="B26" s="1311" t="s">
        <v>882</v>
      </c>
      <c r="C26" s="1354"/>
      <c r="D26" s="1355"/>
      <c r="E26" s="1354"/>
      <c r="F26" s="1356"/>
      <c r="G26" s="1354"/>
      <c r="H26" s="1354"/>
      <c r="I26" s="1354"/>
      <c r="J26" s="1357"/>
      <c r="K26" s="1356"/>
      <c r="L26" s="1358"/>
      <c r="M26" s="1359"/>
    </row>
    <row r="27" spans="1:13" s="1362" customFormat="1">
      <c r="B27" s="1311" t="s">
        <v>887</v>
      </c>
      <c r="G27" s="1297"/>
      <c r="H27" s="1297"/>
      <c r="L27" s="1363"/>
    </row>
    <row r="28" spans="1:13" s="1362" customFormat="1">
      <c r="B28" s="1311" t="s">
        <v>888</v>
      </c>
      <c r="G28" s="1297"/>
      <c r="H28" s="1297"/>
      <c r="L28" s="1363"/>
    </row>
    <row r="29" spans="1:13" s="1362" customFormat="1" ht="29.1">
      <c r="B29" s="1361" t="s">
        <v>889</v>
      </c>
      <c r="G29" s="1297"/>
      <c r="H29" s="1297"/>
      <c r="L29" s="1363"/>
    </row>
    <row r="30" spans="1:13" s="1362" customFormat="1">
      <c r="B30" s="1311" t="s">
        <v>890</v>
      </c>
      <c r="G30" s="1297"/>
      <c r="H30" s="1297"/>
      <c r="L30" s="1363"/>
    </row>
    <row r="31" spans="1:13" s="1362" customFormat="1">
      <c r="B31" s="1311" t="s">
        <v>891</v>
      </c>
      <c r="G31" s="1297"/>
      <c r="H31" s="1297"/>
      <c r="L31" s="1363"/>
    </row>
    <row r="32" spans="1:13" s="1362" customFormat="1">
      <c r="B32" s="1311" t="s">
        <v>892</v>
      </c>
      <c r="G32" s="1297"/>
      <c r="H32" s="1297"/>
      <c r="L32" s="1363"/>
    </row>
    <row r="33" spans="2:2">
      <c r="B33" s="999"/>
    </row>
    <row r="34" spans="2:2">
      <c r="B34" s="1"/>
    </row>
    <row r="35" spans="2:2">
      <c r="B35" s="1"/>
    </row>
    <row r="36" spans="2:2">
      <c r="B36" s="1309" t="s">
        <v>893</v>
      </c>
    </row>
    <row r="37" spans="2:2">
      <c r="B37" s="1310" t="s">
        <v>894</v>
      </c>
    </row>
    <row r="38" spans="2:2">
      <c r="B38" s="997" t="s">
        <v>895</v>
      </c>
    </row>
    <row r="39" spans="2:2">
      <c r="B39" s="404" t="s">
        <v>896</v>
      </c>
    </row>
    <row r="40" spans="2:2">
      <c r="B40" s="400" t="s">
        <v>897</v>
      </c>
    </row>
    <row r="41" spans="2:2">
      <c r="B41" s="1002" t="s">
        <v>898</v>
      </c>
    </row>
    <row r="42" spans="2:2">
      <c r="B42" s="1002"/>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A589F1-E4CF-40D9-AA4F-14C9422431EF}">
  <sheetPr filterMode="1"/>
  <dimension ref="B1:E139"/>
  <sheetViews>
    <sheetView topLeftCell="C1" zoomScale="120" zoomScaleNormal="120" workbookViewId="0">
      <selection activeCell="K11" sqref="K11"/>
    </sheetView>
  </sheetViews>
  <sheetFormatPr defaultRowHeight="14.45"/>
  <cols>
    <col min="2" max="2" width="34.28515625" style="1" bestFit="1" customWidth="1"/>
    <col min="3" max="3" width="41.7109375" style="1" bestFit="1" customWidth="1"/>
    <col min="4" max="4" width="36.28515625" style="1" bestFit="1" customWidth="1"/>
    <col min="5" max="5" width="14.42578125" customWidth="1"/>
  </cols>
  <sheetData>
    <row r="1" spans="2:5">
      <c r="B1" s="18" t="s">
        <v>689</v>
      </c>
      <c r="C1" s="18" t="s">
        <v>690</v>
      </c>
      <c r="D1" s="18" t="s">
        <v>691</v>
      </c>
      <c r="E1" s="989" t="s">
        <v>899</v>
      </c>
    </row>
    <row r="2" spans="2:5" hidden="1">
      <c r="B2" s="1307" t="s">
        <v>778</v>
      </c>
      <c r="C2" s="1307" t="s">
        <v>900</v>
      </c>
      <c r="D2" s="1307" t="s">
        <v>901</v>
      </c>
      <c r="E2" s="1308">
        <v>1</v>
      </c>
    </row>
    <row r="3" spans="2:5" hidden="1">
      <c r="B3" s="1" t="s">
        <v>753</v>
      </c>
      <c r="C3" s="1" t="s">
        <v>763</v>
      </c>
      <c r="D3" s="1" t="s">
        <v>902</v>
      </c>
      <c r="E3">
        <v>1</v>
      </c>
    </row>
    <row r="4" spans="2:5" hidden="1">
      <c r="B4" s="1307" t="s">
        <v>778</v>
      </c>
      <c r="C4" s="1307" t="s">
        <v>903</v>
      </c>
      <c r="D4" s="1307" t="s">
        <v>904</v>
      </c>
      <c r="E4" s="1308">
        <v>1</v>
      </c>
    </row>
    <row r="5" spans="2:5" hidden="1">
      <c r="B5" s="997" t="s">
        <v>712</v>
      </c>
      <c r="C5" s="997" t="s">
        <v>719</v>
      </c>
      <c r="D5" s="997" t="s">
        <v>905</v>
      </c>
      <c r="E5" s="998">
        <v>3</v>
      </c>
    </row>
    <row r="6" spans="2:5" hidden="1">
      <c r="B6" s="997" t="s">
        <v>724</v>
      </c>
      <c r="C6" s="997" t="s">
        <v>726</v>
      </c>
      <c r="D6" s="997" t="s">
        <v>905</v>
      </c>
      <c r="E6" s="998">
        <v>3</v>
      </c>
    </row>
    <row r="7" spans="2:5" hidden="1">
      <c r="B7" s="997" t="s">
        <v>738</v>
      </c>
      <c r="C7" s="997" t="s">
        <v>748</v>
      </c>
      <c r="D7" s="997" t="s">
        <v>905</v>
      </c>
      <c r="E7" s="998">
        <v>3</v>
      </c>
    </row>
    <row r="8" spans="2:5" hidden="1">
      <c r="B8" s="1011" t="s">
        <v>906</v>
      </c>
      <c r="C8" s="1011" t="s">
        <v>907</v>
      </c>
      <c r="D8" s="1011" t="s">
        <v>908</v>
      </c>
    </row>
    <row r="9" spans="2:5" hidden="1">
      <c r="B9" s="404" t="s">
        <v>753</v>
      </c>
      <c r="C9" s="404" t="s">
        <v>759</v>
      </c>
      <c r="D9" s="404" t="s">
        <v>909</v>
      </c>
      <c r="E9" s="293">
        <v>3</v>
      </c>
    </row>
    <row r="10" spans="2:5" hidden="1">
      <c r="B10" s="404" t="s">
        <v>693</v>
      </c>
      <c r="C10" s="404" t="s">
        <v>701</v>
      </c>
      <c r="D10" s="404" t="s">
        <v>909</v>
      </c>
      <c r="E10" s="293">
        <v>3</v>
      </c>
    </row>
    <row r="11" spans="2:5" hidden="1">
      <c r="B11" s="404" t="s">
        <v>712</v>
      </c>
      <c r="C11" s="404" t="s">
        <v>723</v>
      </c>
      <c r="D11" s="404" t="s">
        <v>909</v>
      </c>
      <c r="E11" s="293">
        <v>3</v>
      </c>
    </row>
    <row r="12" spans="2:5">
      <c r="B12" s="1" t="s">
        <v>794</v>
      </c>
      <c r="C12" s="1" t="s">
        <v>805</v>
      </c>
      <c r="D12" s="1" t="s">
        <v>910</v>
      </c>
      <c r="E12">
        <v>1</v>
      </c>
    </row>
    <row r="13" spans="2:5" hidden="1">
      <c r="B13" s="1011" t="s">
        <v>906</v>
      </c>
      <c r="C13" s="1011" t="s">
        <v>911</v>
      </c>
      <c r="D13" s="1011" t="s">
        <v>488</v>
      </c>
      <c r="E13" s="293">
        <v>3</v>
      </c>
    </row>
    <row r="14" spans="2:5" hidden="1">
      <c r="B14" s="1004" t="s">
        <v>794</v>
      </c>
      <c r="C14" s="1004" t="s">
        <v>795</v>
      </c>
      <c r="D14" s="1004" t="s">
        <v>488</v>
      </c>
      <c r="E14" s="293">
        <v>3</v>
      </c>
    </row>
    <row r="15" spans="2:5" hidden="1">
      <c r="B15" s="1004" t="s">
        <v>738</v>
      </c>
      <c r="C15" s="1004" t="s">
        <v>746</v>
      </c>
      <c r="D15" s="1004" t="s">
        <v>488</v>
      </c>
      <c r="E15" s="293">
        <v>3</v>
      </c>
    </row>
    <row r="16" spans="2:5" hidden="1">
      <c r="B16" s="997" t="s">
        <v>766</v>
      </c>
      <c r="C16" s="997" t="s">
        <v>745</v>
      </c>
      <c r="D16" s="997" t="s">
        <v>912</v>
      </c>
      <c r="E16" s="998">
        <v>4</v>
      </c>
    </row>
    <row r="17" spans="2:5" hidden="1">
      <c r="B17" s="1011" t="s">
        <v>906</v>
      </c>
      <c r="C17" s="1011" t="s">
        <v>913</v>
      </c>
      <c r="D17" s="1011" t="s">
        <v>912</v>
      </c>
      <c r="E17" s="998">
        <v>4</v>
      </c>
    </row>
    <row r="18" spans="2:5" hidden="1">
      <c r="B18" s="997" t="s">
        <v>724</v>
      </c>
      <c r="C18" s="997" t="s">
        <v>727</v>
      </c>
      <c r="D18" s="997" t="s">
        <v>912</v>
      </c>
      <c r="E18" s="998">
        <v>4</v>
      </c>
    </row>
    <row r="19" spans="2:5" hidden="1">
      <c r="B19" s="997" t="s">
        <v>738</v>
      </c>
      <c r="C19" s="997" t="s">
        <v>745</v>
      </c>
      <c r="D19" s="997" t="s">
        <v>912</v>
      </c>
      <c r="E19" s="998">
        <v>4</v>
      </c>
    </row>
    <row r="20" spans="2:5" hidden="1">
      <c r="B20" s="1011" t="s">
        <v>906</v>
      </c>
      <c r="C20" s="1011" t="s">
        <v>914</v>
      </c>
      <c r="D20" s="1011" t="s">
        <v>915</v>
      </c>
    </row>
    <row r="21" spans="2:5" hidden="1">
      <c r="B21" s="1" t="s">
        <v>753</v>
      </c>
      <c r="C21" s="1" t="s">
        <v>762</v>
      </c>
      <c r="D21" s="1" t="s">
        <v>916</v>
      </c>
      <c r="E21">
        <v>1</v>
      </c>
    </row>
    <row r="22" spans="2:5" hidden="1">
      <c r="B22" s="1004" t="s">
        <v>917</v>
      </c>
      <c r="C22" s="1004" t="s">
        <v>918</v>
      </c>
      <c r="D22" s="1004" t="s">
        <v>356</v>
      </c>
      <c r="E22">
        <v>2</v>
      </c>
    </row>
    <row r="23" spans="2:5" hidden="1">
      <c r="B23" s="1011" t="s">
        <v>906</v>
      </c>
      <c r="C23" s="1011" t="s">
        <v>919</v>
      </c>
      <c r="D23" s="1011" t="s">
        <v>356</v>
      </c>
      <c r="E23">
        <v>2</v>
      </c>
    </row>
    <row r="24" spans="2:5" hidden="1">
      <c r="B24" s="1" t="s">
        <v>693</v>
      </c>
      <c r="C24" s="1" t="s">
        <v>710</v>
      </c>
      <c r="D24" s="1" t="s">
        <v>920</v>
      </c>
      <c r="E24">
        <v>1</v>
      </c>
    </row>
    <row r="25" spans="2:5" hidden="1">
      <c r="B25" s="1006" t="s">
        <v>766</v>
      </c>
      <c r="C25" s="1006" t="s">
        <v>921</v>
      </c>
      <c r="D25" s="1006" t="s">
        <v>922</v>
      </c>
      <c r="E25" s="1007">
        <v>1</v>
      </c>
    </row>
    <row r="26" spans="2:5" hidden="1">
      <c r="B26" s="1006" t="s">
        <v>693</v>
      </c>
      <c r="C26" s="1006" t="s">
        <v>707</v>
      </c>
      <c r="D26" s="1006" t="s">
        <v>923</v>
      </c>
      <c r="E26" s="1007">
        <v>2</v>
      </c>
    </row>
    <row r="27" spans="2:5" hidden="1">
      <c r="B27" s="1" t="s">
        <v>693</v>
      </c>
      <c r="C27" s="1" t="s">
        <v>695</v>
      </c>
      <c r="D27" s="1" t="s">
        <v>924</v>
      </c>
      <c r="E27">
        <v>1</v>
      </c>
    </row>
    <row r="28" spans="2:5" hidden="1">
      <c r="B28" s="1004" t="s">
        <v>724</v>
      </c>
      <c r="C28" s="1004" t="s">
        <v>735</v>
      </c>
      <c r="D28" s="1004" t="s">
        <v>925</v>
      </c>
      <c r="E28" s="1005">
        <v>2</v>
      </c>
    </row>
    <row r="29" spans="2:5" hidden="1">
      <c r="B29" s="1004" t="s">
        <v>712</v>
      </c>
      <c r="C29" s="1004" t="s">
        <v>722</v>
      </c>
      <c r="D29" s="1004" t="s">
        <v>925</v>
      </c>
      <c r="E29" s="1005">
        <v>2</v>
      </c>
    </row>
    <row r="30" spans="2:5" hidden="1">
      <c r="B30" s="1307" t="s">
        <v>778</v>
      </c>
      <c r="C30" s="1307" t="s">
        <v>926</v>
      </c>
      <c r="D30" s="1307" t="s">
        <v>927</v>
      </c>
      <c r="E30" s="1308">
        <v>1</v>
      </c>
    </row>
    <row r="31" spans="2:5" hidden="1">
      <c r="B31" s="1" t="s">
        <v>738</v>
      </c>
      <c r="C31" s="1" t="s">
        <v>749</v>
      </c>
      <c r="D31" s="1" t="s">
        <v>41</v>
      </c>
      <c r="E31">
        <v>1</v>
      </c>
    </row>
    <row r="32" spans="2:5" hidden="1">
      <c r="B32" s="1" t="s">
        <v>794</v>
      </c>
      <c r="C32" s="1" t="s">
        <v>806</v>
      </c>
      <c r="D32" s="1" t="s">
        <v>928</v>
      </c>
      <c r="E32">
        <v>2</v>
      </c>
    </row>
    <row r="33" spans="2:5" hidden="1">
      <c r="B33" s="1004" t="s">
        <v>693</v>
      </c>
      <c r="C33" s="1004" t="s">
        <v>709</v>
      </c>
      <c r="D33" s="1004" t="s">
        <v>928</v>
      </c>
      <c r="E33" s="1005">
        <v>2</v>
      </c>
    </row>
    <row r="34" spans="2:5" hidden="1">
      <c r="B34" s="1004" t="s">
        <v>917</v>
      </c>
      <c r="C34" s="1004" t="s">
        <v>929</v>
      </c>
      <c r="D34" s="1004" t="s">
        <v>930</v>
      </c>
      <c r="E34" s="1005">
        <v>1</v>
      </c>
    </row>
    <row r="35" spans="2:5" hidden="1">
      <c r="B35" s="1011" t="s">
        <v>906</v>
      </c>
      <c r="C35" s="1011" t="s">
        <v>931</v>
      </c>
      <c r="D35" s="1011" t="s">
        <v>38</v>
      </c>
      <c r="E35">
        <v>1</v>
      </c>
    </row>
    <row r="36" spans="2:5" hidden="1">
      <c r="B36" s="1" t="s">
        <v>712</v>
      </c>
      <c r="C36" s="1" t="s">
        <v>720</v>
      </c>
      <c r="D36" s="1" t="s">
        <v>364</v>
      </c>
      <c r="E36">
        <v>2</v>
      </c>
    </row>
    <row r="37" spans="2:5" hidden="1">
      <c r="B37" s="1" t="s">
        <v>738</v>
      </c>
      <c r="C37" s="1" t="s">
        <v>751</v>
      </c>
      <c r="D37" s="1" t="s">
        <v>364</v>
      </c>
      <c r="E37">
        <v>2</v>
      </c>
    </row>
    <row r="38" spans="2:5" hidden="1">
      <c r="B38" s="1" t="s">
        <v>766</v>
      </c>
      <c r="C38" s="1" t="s">
        <v>775</v>
      </c>
      <c r="D38" s="1" t="s">
        <v>932</v>
      </c>
      <c r="E38">
        <v>1</v>
      </c>
    </row>
    <row r="39" spans="2:5" hidden="1">
      <c r="B39" s="1" t="s">
        <v>766</v>
      </c>
      <c r="C39" s="1" t="s">
        <v>740</v>
      </c>
      <c r="D39" s="1" t="s">
        <v>405</v>
      </c>
      <c r="E39">
        <v>2</v>
      </c>
    </row>
    <row r="40" spans="2:5" hidden="1">
      <c r="B40" s="1" t="s">
        <v>738</v>
      </c>
      <c r="C40" s="1" t="s">
        <v>740</v>
      </c>
      <c r="D40" s="1" t="s">
        <v>405</v>
      </c>
      <c r="E40">
        <v>2</v>
      </c>
    </row>
    <row r="41" spans="2:5" hidden="1">
      <c r="B41" s="1" t="s">
        <v>753</v>
      </c>
      <c r="C41" s="1" t="s">
        <v>765</v>
      </c>
      <c r="D41" s="1" t="s">
        <v>933</v>
      </c>
      <c r="E41">
        <v>2</v>
      </c>
    </row>
    <row r="42" spans="2:5" hidden="1">
      <c r="B42" s="1004" t="s">
        <v>693</v>
      </c>
      <c r="C42" s="1004" t="s">
        <v>704</v>
      </c>
      <c r="D42" s="1004" t="s">
        <v>933</v>
      </c>
      <c r="E42" s="1005">
        <v>2</v>
      </c>
    </row>
    <row r="43" spans="2:5" hidden="1">
      <c r="B43" s="1011" t="s">
        <v>906</v>
      </c>
      <c r="C43" s="1011" t="s">
        <v>934</v>
      </c>
      <c r="D43" s="1011" t="s">
        <v>935</v>
      </c>
      <c r="E43">
        <v>2</v>
      </c>
    </row>
    <row r="44" spans="2:5" hidden="1">
      <c r="B44" s="1004" t="s">
        <v>917</v>
      </c>
      <c r="C44" s="1004" t="s">
        <v>936</v>
      </c>
      <c r="D44" s="1004" t="s">
        <v>937</v>
      </c>
      <c r="E44">
        <v>2</v>
      </c>
    </row>
    <row r="45" spans="2:5" hidden="1">
      <c r="B45" s="1" t="s">
        <v>738</v>
      </c>
      <c r="C45" s="1" t="s">
        <v>742</v>
      </c>
      <c r="D45" s="1" t="s">
        <v>938</v>
      </c>
      <c r="E45">
        <v>3</v>
      </c>
    </row>
    <row r="46" spans="2:5" hidden="1">
      <c r="B46" s="1004" t="s">
        <v>917</v>
      </c>
      <c r="C46" s="1004" t="s">
        <v>939</v>
      </c>
      <c r="D46" s="1004" t="s">
        <v>938</v>
      </c>
      <c r="E46">
        <v>3</v>
      </c>
    </row>
    <row r="47" spans="2:5" hidden="1">
      <c r="B47" s="1011" t="s">
        <v>906</v>
      </c>
      <c r="C47" s="1011" t="s">
        <v>940</v>
      </c>
      <c r="D47" s="1011" t="s">
        <v>938</v>
      </c>
      <c r="E47">
        <v>3</v>
      </c>
    </row>
    <row r="48" spans="2:5" hidden="1">
      <c r="B48" s="1011" t="s">
        <v>906</v>
      </c>
      <c r="C48" s="1011" t="s">
        <v>941</v>
      </c>
      <c r="D48" s="1011" t="s">
        <v>942</v>
      </c>
      <c r="E48">
        <v>1</v>
      </c>
    </row>
    <row r="49" spans="2:5" hidden="1">
      <c r="B49" s="1011" t="s">
        <v>906</v>
      </c>
      <c r="C49" s="1011" t="s">
        <v>943</v>
      </c>
      <c r="D49" s="1011" t="s">
        <v>944</v>
      </c>
      <c r="E49">
        <v>2</v>
      </c>
    </row>
    <row r="50" spans="2:5" hidden="1">
      <c r="B50" s="1" t="s">
        <v>766</v>
      </c>
      <c r="C50" s="1" t="s">
        <v>767</v>
      </c>
      <c r="D50" s="1" t="s">
        <v>945</v>
      </c>
      <c r="E50">
        <v>2</v>
      </c>
    </row>
    <row r="51" spans="2:5" hidden="1">
      <c r="B51" s="990" t="s">
        <v>794</v>
      </c>
      <c r="C51" s="990" t="s">
        <v>804</v>
      </c>
      <c r="D51" s="990" t="s">
        <v>538</v>
      </c>
      <c r="E51" s="938">
        <v>5</v>
      </c>
    </row>
    <row r="52" spans="2:5" hidden="1">
      <c r="B52" s="990" t="s">
        <v>766</v>
      </c>
      <c r="C52" s="990" t="s">
        <v>768</v>
      </c>
      <c r="D52" s="990" t="s">
        <v>538</v>
      </c>
      <c r="E52" s="938">
        <v>5</v>
      </c>
    </row>
    <row r="53" spans="2:5" hidden="1">
      <c r="B53" s="990" t="s">
        <v>724</v>
      </c>
      <c r="C53" s="990" t="s">
        <v>725</v>
      </c>
      <c r="D53" s="990" t="s">
        <v>538</v>
      </c>
      <c r="E53" s="938">
        <v>5</v>
      </c>
    </row>
    <row r="54" spans="2:5" hidden="1">
      <c r="B54" s="990" t="s">
        <v>712</v>
      </c>
      <c r="C54" s="990" t="s">
        <v>713</v>
      </c>
      <c r="D54" s="990" t="s">
        <v>538</v>
      </c>
      <c r="E54" s="938">
        <v>5</v>
      </c>
    </row>
    <row r="55" spans="2:5" hidden="1">
      <c r="B55" s="990" t="s">
        <v>738</v>
      </c>
      <c r="C55" s="990" t="s">
        <v>741</v>
      </c>
      <c r="D55" s="990" t="s">
        <v>538</v>
      </c>
      <c r="E55" s="938">
        <v>5</v>
      </c>
    </row>
    <row r="56" spans="2:5" hidden="1">
      <c r="B56" s="1307" t="s">
        <v>778</v>
      </c>
      <c r="C56" s="1307" t="s">
        <v>790</v>
      </c>
      <c r="D56" s="1307" t="s">
        <v>946</v>
      </c>
      <c r="E56" s="1308">
        <v>1</v>
      </c>
    </row>
    <row r="57" spans="2:5" hidden="1">
      <c r="B57" s="1004" t="s">
        <v>917</v>
      </c>
      <c r="C57" s="1004" t="s">
        <v>947</v>
      </c>
      <c r="D57" s="1004" t="s">
        <v>948</v>
      </c>
      <c r="E57" s="938">
        <v>1</v>
      </c>
    </row>
    <row r="58" spans="2:5" hidden="1">
      <c r="B58" s="1" t="s">
        <v>794</v>
      </c>
      <c r="C58" s="1" t="s">
        <v>808</v>
      </c>
      <c r="D58" s="1" t="s">
        <v>540</v>
      </c>
      <c r="E58">
        <v>3</v>
      </c>
    </row>
    <row r="59" spans="2:5" hidden="1">
      <c r="B59" s="1307" t="s">
        <v>778</v>
      </c>
      <c r="C59" s="1307" t="s">
        <v>949</v>
      </c>
      <c r="D59" s="1307" t="s">
        <v>540</v>
      </c>
      <c r="E59" s="1308">
        <v>3</v>
      </c>
    </row>
    <row r="60" spans="2:5" hidden="1">
      <c r="B60" s="1" t="s">
        <v>712</v>
      </c>
      <c r="C60" s="1" t="s">
        <v>718</v>
      </c>
      <c r="D60" s="1" t="s">
        <v>540</v>
      </c>
      <c r="E60">
        <v>3</v>
      </c>
    </row>
    <row r="61" spans="2:5" hidden="1">
      <c r="B61" s="999" t="s">
        <v>794</v>
      </c>
      <c r="C61" s="999" t="s">
        <v>799</v>
      </c>
      <c r="D61" s="999" t="s">
        <v>548</v>
      </c>
      <c r="E61" s="1000">
        <v>3</v>
      </c>
    </row>
    <row r="62" spans="2:5" hidden="1">
      <c r="B62" s="999" t="s">
        <v>766</v>
      </c>
      <c r="C62" s="999" t="s">
        <v>773</v>
      </c>
      <c r="D62" s="999" t="s">
        <v>548</v>
      </c>
      <c r="E62" s="1000">
        <v>3</v>
      </c>
    </row>
    <row r="63" spans="2:5" hidden="1">
      <c r="B63" s="999" t="s">
        <v>693</v>
      </c>
      <c r="C63" s="999" t="s">
        <v>697</v>
      </c>
      <c r="D63" s="999" t="s">
        <v>548</v>
      </c>
      <c r="E63" s="1000">
        <v>3</v>
      </c>
    </row>
    <row r="64" spans="2:5" hidden="1">
      <c r="B64" s="1004" t="s">
        <v>917</v>
      </c>
      <c r="C64" s="1004" t="s">
        <v>950</v>
      </c>
      <c r="D64" s="1004" t="s">
        <v>951</v>
      </c>
      <c r="E64" s="1000">
        <v>1</v>
      </c>
    </row>
    <row r="65" spans="2:5" hidden="1">
      <c r="B65" s="1001" t="s">
        <v>753</v>
      </c>
      <c r="C65" s="1001" t="s">
        <v>764</v>
      </c>
      <c r="D65" s="1001" t="s">
        <v>543</v>
      </c>
      <c r="E65" s="652">
        <v>3</v>
      </c>
    </row>
    <row r="66" spans="2:5" hidden="1">
      <c r="B66" s="1001" t="s">
        <v>794</v>
      </c>
      <c r="C66" s="1001" t="s">
        <v>801</v>
      </c>
      <c r="D66" s="1001" t="s">
        <v>543</v>
      </c>
      <c r="E66" s="652">
        <v>3</v>
      </c>
    </row>
    <row r="67" spans="2:5" hidden="1">
      <c r="B67" s="1001" t="s">
        <v>766</v>
      </c>
      <c r="C67" s="1001" t="s">
        <v>764</v>
      </c>
      <c r="D67" s="1001" t="s">
        <v>543</v>
      </c>
      <c r="E67" s="652">
        <v>3</v>
      </c>
    </row>
    <row r="68" spans="2:5" hidden="1">
      <c r="B68" s="999" t="s">
        <v>724</v>
      </c>
      <c r="C68" s="999" t="s">
        <v>729</v>
      </c>
      <c r="D68" s="999" t="s">
        <v>952</v>
      </c>
      <c r="E68" s="1000">
        <v>3</v>
      </c>
    </row>
    <row r="69" spans="2:5" hidden="1">
      <c r="B69" s="999" t="s">
        <v>693</v>
      </c>
      <c r="C69" s="999" t="s">
        <v>702</v>
      </c>
      <c r="D69" s="999" t="s">
        <v>952</v>
      </c>
      <c r="E69" s="1000">
        <v>3</v>
      </c>
    </row>
    <row r="70" spans="2:5" hidden="1">
      <c r="B70" s="999" t="s">
        <v>738</v>
      </c>
      <c r="C70" s="999" t="s">
        <v>750</v>
      </c>
      <c r="D70" s="999" t="s">
        <v>952</v>
      </c>
      <c r="E70" s="1000">
        <v>3</v>
      </c>
    </row>
    <row r="71" spans="2:5" hidden="1">
      <c r="B71" s="1004" t="s">
        <v>917</v>
      </c>
      <c r="C71" s="1004" t="s">
        <v>953</v>
      </c>
      <c r="D71" s="1004" t="s">
        <v>954</v>
      </c>
      <c r="E71" s="1000">
        <v>2</v>
      </c>
    </row>
    <row r="72" spans="2:5" hidden="1">
      <c r="B72" s="1011" t="s">
        <v>906</v>
      </c>
      <c r="C72" s="1011" t="s">
        <v>955</v>
      </c>
      <c r="D72" s="1011" t="s">
        <v>954</v>
      </c>
      <c r="E72" s="1000">
        <v>2</v>
      </c>
    </row>
    <row r="73" spans="2:5" hidden="1">
      <c r="B73" s="1307" t="s">
        <v>778</v>
      </c>
      <c r="C73" s="1307" t="s">
        <v>779</v>
      </c>
      <c r="D73" s="1307" t="s">
        <v>956</v>
      </c>
      <c r="E73" s="1308">
        <v>1</v>
      </c>
    </row>
    <row r="74" spans="2:5" hidden="1">
      <c r="B74" s="1004" t="s">
        <v>917</v>
      </c>
      <c r="C74" s="1004" t="s">
        <v>957</v>
      </c>
      <c r="D74" s="1004" t="s">
        <v>958</v>
      </c>
      <c r="E74" s="1000">
        <v>2</v>
      </c>
    </row>
    <row r="75" spans="2:5" hidden="1">
      <c r="B75" s="400" t="s">
        <v>766</v>
      </c>
      <c r="C75" s="400" t="s">
        <v>777</v>
      </c>
      <c r="D75" s="400" t="s">
        <v>406</v>
      </c>
      <c r="E75" s="508">
        <v>3</v>
      </c>
    </row>
    <row r="76" spans="2:5" hidden="1">
      <c r="B76" s="400" t="s">
        <v>724</v>
      </c>
      <c r="C76" s="400" t="s">
        <v>731</v>
      </c>
      <c r="D76" s="400" t="s">
        <v>406</v>
      </c>
      <c r="E76" s="508">
        <v>3</v>
      </c>
    </row>
    <row r="77" spans="2:5" hidden="1">
      <c r="B77" s="400" t="s">
        <v>712</v>
      </c>
      <c r="C77" s="400" t="s">
        <v>716</v>
      </c>
      <c r="D77" s="400" t="s">
        <v>406</v>
      </c>
      <c r="E77" s="508">
        <v>3</v>
      </c>
    </row>
    <row r="78" spans="2:5" hidden="1">
      <c r="B78" s="1004" t="s">
        <v>917</v>
      </c>
      <c r="C78" s="1004" t="s">
        <v>959</v>
      </c>
      <c r="D78" s="1004" t="s">
        <v>960</v>
      </c>
      <c r="E78" s="508">
        <v>1</v>
      </c>
    </row>
    <row r="79" spans="2:5" hidden="1">
      <c r="B79" s="1" t="s">
        <v>693</v>
      </c>
      <c r="C79" s="1" t="s">
        <v>708</v>
      </c>
      <c r="D79" s="1" t="s">
        <v>961</v>
      </c>
      <c r="E79">
        <v>1</v>
      </c>
    </row>
    <row r="80" spans="2:5" hidden="1">
      <c r="B80" s="1" t="s">
        <v>753</v>
      </c>
      <c r="C80" s="1" t="s">
        <v>761</v>
      </c>
      <c r="D80" s="1" t="s">
        <v>962</v>
      </c>
      <c r="E80">
        <v>2</v>
      </c>
    </row>
    <row r="81" spans="2:5" hidden="1">
      <c r="B81" s="1" t="s">
        <v>738</v>
      </c>
      <c r="C81" s="1" t="s">
        <v>743</v>
      </c>
      <c r="D81" s="1" t="s">
        <v>962</v>
      </c>
      <c r="E81">
        <v>2</v>
      </c>
    </row>
    <row r="82" spans="2:5" hidden="1">
      <c r="B82" s="1307" t="s">
        <v>778</v>
      </c>
      <c r="C82" s="1307" t="s">
        <v>963</v>
      </c>
      <c r="D82" s="1307" t="s">
        <v>964</v>
      </c>
      <c r="E82" s="1308">
        <v>1</v>
      </c>
    </row>
    <row r="83" spans="2:5" hidden="1">
      <c r="B83" s="1004" t="s">
        <v>917</v>
      </c>
      <c r="C83" s="1004" t="s">
        <v>965</v>
      </c>
      <c r="D83" s="1004" t="s">
        <v>966</v>
      </c>
      <c r="E83">
        <v>1</v>
      </c>
    </row>
    <row r="84" spans="2:5" hidden="1">
      <c r="B84" s="1" t="s">
        <v>794</v>
      </c>
      <c r="C84" s="1" t="s">
        <v>797</v>
      </c>
      <c r="D84" s="1" t="s">
        <v>544</v>
      </c>
      <c r="E84">
        <v>2</v>
      </c>
    </row>
    <row r="85" spans="2:5" hidden="1">
      <c r="B85" s="1" t="s">
        <v>738</v>
      </c>
      <c r="C85" s="1" t="s">
        <v>747</v>
      </c>
      <c r="D85" s="1" t="s">
        <v>544</v>
      </c>
      <c r="E85">
        <v>2</v>
      </c>
    </row>
    <row r="86" spans="2:5" hidden="1">
      <c r="B86" s="1" t="s">
        <v>794</v>
      </c>
      <c r="C86" s="1" t="s">
        <v>807</v>
      </c>
      <c r="D86" s="1" t="s">
        <v>515</v>
      </c>
      <c r="E86">
        <v>2</v>
      </c>
    </row>
    <row r="87" spans="2:5" hidden="1">
      <c r="B87" s="1" t="s">
        <v>766</v>
      </c>
      <c r="C87" s="1" t="s">
        <v>769</v>
      </c>
      <c r="D87" s="1" t="s">
        <v>515</v>
      </c>
      <c r="E87">
        <v>2</v>
      </c>
    </row>
    <row r="88" spans="2:5" hidden="1">
      <c r="B88" s="991" t="s">
        <v>794</v>
      </c>
      <c r="C88" s="991" t="s">
        <v>802</v>
      </c>
      <c r="D88" s="991" t="s">
        <v>550</v>
      </c>
      <c r="E88" s="992">
        <v>5</v>
      </c>
    </row>
    <row r="89" spans="2:5" hidden="1">
      <c r="B89" s="991" t="s">
        <v>766</v>
      </c>
      <c r="C89" s="991" t="s">
        <v>771</v>
      </c>
      <c r="D89" s="991" t="s">
        <v>550</v>
      </c>
      <c r="E89" s="992">
        <v>5</v>
      </c>
    </row>
    <row r="90" spans="2:5" hidden="1">
      <c r="B90" s="991" t="s">
        <v>724</v>
      </c>
      <c r="C90" s="991" t="s">
        <v>730</v>
      </c>
      <c r="D90" s="991" t="s">
        <v>550</v>
      </c>
      <c r="E90" s="992">
        <v>5</v>
      </c>
    </row>
    <row r="91" spans="2:5" hidden="1">
      <c r="B91" s="991" t="s">
        <v>693</v>
      </c>
      <c r="C91" s="991" t="s">
        <v>696</v>
      </c>
      <c r="D91" s="991" t="s">
        <v>550</v>
      </c>
      <c r="E91" s="992">
        <v>5</v>
      </c>
    </row>
    <row r="92" spans="2:5" hidden="1">
      <c r="B92" s="991" t="s">
        <v>712</v>
      </c>
      <c r="C92" s="991" t="s">
        <v>714</v>
      </c>
      <c r="D92" s="991" t="s">
        <v>550</v>
      </c>
      <c r="E92" s="992">
        <v>5</v>
      </c>
    </row>
    <row r="93" spans="2:5" hidden="1">
      <c r="B93" s="1004" t="s">
        <v>917</v>
      </c>
      <c r="C93" s="1004" t="s">
        <v>967</v>
      </c>
      <c r="D93" s="1004" t="s">
        <v>968</v>
      </c>
      <c r="E93" s="992">
        <v>2</v>
      </c>
    </row>
    <row r="94" spans="2:5" hidden="1">
      <c r="B94" s="1" t="s">
        <v>738</v>
      </c>
      <c r="C94" s="1" t="s">
        <v>752</v>
      </c>
      <c r="D94" s="1" t="s">
        <v>969</v>
      </c>
      <c r="E94">
        <v>2</v>
      </c>
    </row>
    <row r="95" spans="2:5" hidden="1">
      <c r="B95" s="1" t="s">
        <v>693</v>
      </c>
      <c r="C95" s="1" t="s">
        <v>703</v>
      </c>
      <c r="D95" s="1" t="s">
        <v>555</v>
      </c>
      <c r="E95">
        <v>1</v>
      </c>
    </row>
    <row r="96" spans="2:5" hidden="1">
      <c r="B96" s="1" t="s">
        <v>693</v>
      </c>
      <c r="C96" s="1" t="s">
        <v>700</v>
      </c>
      <c r="D96" s="1" t="s">
        <v>970</v>
      </c>
      <c r="E96">
        <v>1</v>
      </c>
    </row>
    <row r="97" spans="2:5" hidden="1">
      <c r="B97" s="1002" t="s">
        <v>794</v>
      </c>
      <c r="C97" s="1002" t="s">
        <v>796</v>
      </c>
      <c r="D97" s="1002" t="s">
        <v>519</v>
      </c>
      <c r="E97" s="1003">
        <v>4</v>
      </c>
    </row>
    <row r="98" spans="2:5" hidden="1">
      <c r="B98" s="1011" t="s">
        <v>906</v>
      </c>
      <c r="C98" s="1011" t="s">
        <v>971</v>
      </c>
      <c r="D98" s="1011" t="s">
        <v>519</v>
      </c>
      <c r="E98">
        <v>4</v>
      </c>
    </row>
    <row r="99" spans="2:5" hidden="1">
      <c r="B99" s="1002" t="s">
        <v>738</v>
      </c>
      <c r="C99" s="1002" t="s">
        <v>739</v>
      </c>
      <c r="D99" s="1002" t="s">
        <v>519</v>
      </c>
      <c r="E99" s="1003">
        <v>4</v>
      </c>
    </row>
    <row r="100" spans="2:5" hidden="1">
      <c r="B100" s="1002" t="s">
        <v>753</v>
      </c>
      <c r="C100" s="1002" t="s">
        <v>755</v>
      </c>
      <c r="D100" s="1002" t="s">
        <v>972</v>
      </c>
      <c r="E100" s="1003">
        <v>4</v>
      </c>
    </row>
    <row r="101" spans="2:5" hidden="1">
      <c r="B101" s="1" t="s">
        <v>693</v>
      </c>
      <c r="C101" s="1" t="s">
        <v>706</v>
      </c>
      <c r="D101" s="1" t="s">
        <v>973</v>
      </c>
      <c r="E101">
        <v>1</v>
      </c>
    </row>
    <row r="102" spans="2:5" hidden="1">
      <c r="B102" s="1307" t="s">
        <v>778</v>
      </c>
      <c r="C102" s="1307" t="s">
        <v>974</v>
      </c>
      <c r="D102" s="1307" t="s">
        <v>534</v>
      </c>
      <c r="E102" s="1308">
        <v>1</v>
      </c>
    </row>
    <row r="103" spans="2:5" hidden="1">
      <c r="B103" s="1" t="s">
        <v>766</v>
      </c>
      <c r="C103" s="1" t="s">
        <v>694</v>
      </c>
      <c r="D103" s="1" t="s">
        <v>42</v>
      </c>
      <c r="E103">
        <v>2</v>
      </c>
    </row>
    <row r="104" spans="2:5" hidden="1">
      <c r="B104" s="1004" t="s">
        <v>693</v>
      </c>
      <c r="C104" s="1004" t="s">
        <v>694</v>
      </c>
      <c r="D104" s="1004" t="s">
        <v>42</v>
      </c>
      <c r="E104" s="1005">
        <v>2</v>
      </c>
    </row>
    <row r="105" spans="2:5" hidden="1">
      <c r="B105" s="1307" t="s">
        <v>778</v>
      </c>
      <c r="C105" s="1307" t="s">
        <v>975</v>
      </c>
      <c r="D105" s="1307" t="s">
        <v>976</v>
      </c>
      <c r="E105" s="1308">
        <v>1</v>
      </c>
    </row>
    <row r="106" spans="2:5" hidden="1">
      <c r="B106" s="1004" t="s">
        <v>693</v>
      </c>
      <c r="C106" s="1004" t="s">
        <v>699</v>
      </c>
      <c r="D106" s="1004" t="s">
        <v>407</v>
      </c>
      <c r="E106" s="1005">
        <v>2</v>
      </c>
    </row>
    <row r="107" spans="2:5" hidden="1">
      <c r="B107" s="1" t="s">
        <v>753</v>
      </c>
      <c r="C107" s="1" t="s">
        <v>757</v>
      </c>
      <c r="D107" s="1" t="s">
        <v>977</v>
      </c>
      <c r="E107">
        <v>2</v>
      </c>
    </row>
    <row r="108" spans="2:5" hidden="1">
      <c r="B108" s="993" t="s">
        <v>794</v>
      </c>
      <c r="C108" s="993" t="s">
        <v>803</v>
      </c>
      <c r="D108" s="993" t="s">
        <v>978</v>
      </c>
      <c r="E108" s="994">
        <v>5</v>
      </c>
    </row>
    <row r="109" spans="2:5" hidden="1">
      <c r="B109" s="993" t="s">
        <v>766</v>
      </c>
      <c r="C109" s="993" t="s">
        <v>770</v>
      </c>
      <c r="D109" s="993" t="s">
        <v>978</v>
      </c>
      <c r="E109" s="994">
        <v>5</v>
      </c>
    </row>
    <row r="110" spans="2:5" hidden="1">
      <c r="B110" s="993" t="s">
        <v>724</v>
      </c>
      <c r="C110" s="993" t="s">
        <v>733</v>
      </c>
      <c r="D110" s="993" t="s">
        <v>978</v>
      </c>
      <c r="E110" s="994">
        <v>5</v>
      </c>
    </row>
    <row r="111" spans="2:5" hidden="1">
      <c r="B111" s="993" t="s">
        <v>712</v>
      </c>
      <c r="C111" s="993" t="s">
        <v>715</v>
      </c>
      <c r="D111" s="993" t="s">
        <v>978</v>
      </c>
      <c r="E111" s="994">
        <v>5</v>
      </c>
    </row>
    <row r="112" spans="2:5" hidden="1">
      <c r="B112" s="993" t="s">
        <v>738</v>
      </c>
      <c r="C112" s="993" t="s">
        <v>733</v>
      </c>
      <c r="D112" s="993" t="s">
        <v>978</v>
      </c>
      <c r="E112" s="994">
        <v>5</v>
      </c>
    </row>
    <row r="113" spans="2:5" hidden="1">
      <c r="B113" s="1" t="s">
        <v>724</v>
      </c>
      <c r="C113" s="1" t="s">
        <v>737</v>
      </c>
      <c r="D113" s="1" t="s">
        <v>979</v>
      </c>
      <c r="E113">
        <v>1</v>
      </c>
    </row>
    <row r="114" spans="2:5" hidden="1">
      <c r="B114" s="1" t="s">
        <v>766</v>
      </c>
      <c r="C114" s="1" t="s">
        <v>776</v>
      </c>
      <c r="D114" s="1" t="s">
        <v>980</v>
      </c>
      <c r="E114">
        <v>3</v>
      </c>
    </row>
    <row r="115" spans="2:5" hidden="1">
      <c r="B115" s="1" t="s">
        <v>724</v>
      </c>
      <c r="C115" s="1" t="s">
        <v>734</v>
      </c>
      <c r="D115" s="1" t="s">
        <v>980</v>
      </c>
      <c r="E115">
        <v>3</v>
      </c>
    </row>
    <row r="116" spans="2:5" hidden="1">
      <c r="B116" s="1" t="s">
        <v>753</v>
      </c>
      <c r="C116" s="1" t="s">
        <v>754</v>
      </c>
      <c r="D116" s="1" t="s">
        <v>981</v>
      </c>
      <c r="E116">
        <v>3</v>
      </c>
    </row>
    <row r="117" spans="2:5" hidden="1">
      <c r="B117" s="995" t="s">
        <v>794</v>
      </c>
      <c r="C117" s="995" t="s">
        <v>798</v>
      </c>
      <c r="D117" s="995" t="s">
        <v>521</v>
      </c>
      <c r="E117" s="996">
        <v>6</v>
      </c>
    </row>
    <row r="118" spans="2:5" hidden="1">
      <c r="B118" s="1011" t="s">
        <v>906</v>
      </c>
      <c r="C118" s="1011" t="s">
        <v>982</v>
      </c>
      <c r="D118" s="1011" t="s">
        <v>521</v>
      </c>
      <c r="E118" s="996">
        <v>6</v>
      </c>
    </row>
    <row r="119" spans="2:5" hidden="1">
      <c r="B119" s="995" t="s">
        <v>724</v>
      </c>
      <c r="C119" s="995" t="s">
        <v>736</v>
      </c>
      <c r="D119" s="995" t="s">
        <v>521</v>
      </c>
      <c r="E119" s="996">
        <v>6</v>
      </c>
    </row>
    <row r="120" spans="2:5" hidden="1">
      <c r="B120" s="995" t="s">
        <v>712</v>
      </c>
      <c r="C120" s="995" t="s">
        <v>721</v>
      </c>
      <c r="D120" s="995" t="s">
        <v>521</v>
      </c>
      <c r="E120" s="996">
        <v>6</v>
      </c>
    </row>
    <row r="121" spans="2:5" hidden="1">
      <c r="B121" s="995" t="s">
        <v>738</v>
      </c>
      <c r="C121" s="995" t="s">
        <v>744</v>
      </c>
      <c r="D121" s="995" t="s">
        <v>521</v>
      </c>
      <c r="E121" s="996">
        <v>6</v>
      </c>
    </row>
    <row r="122" spans="2:5" hidden="1">
      <c r="B122" s="995" t="s">
        <v>753</v>
      </c>
      <c r="C122" s="995" t="s">
        <v>758</v>
      </c>
      <c r="D122" s="995" t="s">
        <v>983</v>
      </c>
      <c r="E122" s="996">
        <v>6</v>
      </c>
    </row>
    <row r="123" spans="2:5" hidden="1">
      <c r="B123" s="1" t="s">
        <v>693</v>
      </c>
      <c r="C123" s="1" t="s">
        <v>711</v>
      </c>
      <c r="D123" s="1" t="s">
        <v>984</v>
      </c>
      <c r="E123">
        <v>1</v>
      </c>
    </row>
    <row r="124" spans="2:5" hidden="1">
      <c r="B124" s="1" t="s">
        <v>753</v>
      </c>
      <c r="C124" s="1" t="s">
        <v>756</v>
      </c>
      <c r="D124" s="1" t="s">
        <v>414</v>
      </c>
      <c r="E124">
        <v>1</v>
      </c>
    </row>
    <row r="125" spans="2:5" hidden="1">
      <c r="B125" s="1307" t="s">
        <v>778</v>
      </c>
      <c r="C125" s="1307" t="s">
        <v>985</v>
      </c>
      <c r="D125" s="1307" t="s">
        <v>986</v>
      </c>
      <c r="E125" s="1308">
        <v>1</v>
      </c>
    </row>
    <row r="126" spans="2:5" hidden="1">
      <c r="B126" s="1307" t="s">
        <v>778</v>
      </c>
      <c r="C126" s="1307" t="s">
        <v>784</v>
      </c>
      <c r="D126" s="1307" t="s">
        <v>987</v>
      </c>
      <c r="E126" s="1308">
        <v>1</v>
      </c>
    </row>
    <row r="127" spans="2:5" hidden="1">
      <c r="B127" s="1" t="s">
        <v>753</v>
      </c>
      <c r="C127" s="1" t="s">
        <v>760</v>
      </c>
      <c r="D127" s="1" t="s">
        <v>988</v>
      </c>
      <c r="E127">
        <v>2</v>
      </c>
    </row>
    <row r="128" spans="2:5" hidden="1">
      <c r="B128" s="1" t="s">
        <v>766</v>
      </c>
      <c r="C128" s="1" t="s">
        <v>772</v>
      </c>
      <c r="D128" s="1" t="s">
        <v>989</v>
      </c>
      <c r="E128">
        <v>2</v>
      </c>
    </row>
    <row r="129" spans="2:5" hidden="1">
      <c r="B129" s="1011" t="s">
        <v>906</v>
      </c>
      <c r="C129" s="1011" t="s">
        <v>990</v>
      </c>
      <c r="D129" s="1011" t="s">
        <v>991</v>
      </c>
      <c r="E129">
        <v>1</v>
      </c>
    </row>
    <row r="130" spans="2:5" hidden="1">
      <c r="B130" s="1307" t="s">
        <v>778</v>
      </c>
      <c r="C130" s="1307" t="s">
        <v>992</v>
      </c>
      <c r="D130" s="1307" t="s">
        <v>993</v>
      </c>
      <c r="E130" s="1308">
        <v>1</v>
      </c>
    </row>
    <row r="131" spans="2:5" hidden="1">
      <c r="B131" s="1" t="s">
        <v>724</v>
      </c>
      <c r="C131" s="1" t="s">
        <v>728</v>
      </c>
      <c r="D131" s="1" t="s">
        <v>994</v>
      </c>
      <c r="E131">
        <v>1</v>
      </c>
    </row>
    <row r="132" spans="2:5" hidden="1">
      <c r="B132" s="1" t="s">
        <v>693</v>
      </c>
      <c r="C132" s="1" t="s">
        <v>705</v>
      </c>
      <c r="D132" s="1" t="s">
        <v>995</v>
      </c>
      <c r="E132">
        <v>1</v>
      </c>
    </row>
    <row r="133" spans="2:5" hidden="1">
      <c r="B133" s="1307" t="s">
        <v>778</v>
      </c>
      <c r="C133" s="1307" t="s">
        <v>996</v>
      </c>
      <c r="D133" s="1307" t="s">
        <v>997</v>
      </c>
      <c r="E133" s="1308">
        <v>1</v>
      </c>
    </row>
    <row r="134" spans="2:5" hidden="1">
      <c r="B134" s="1307" t="s">
        <v>778</v>
      </c>
      <c r="C134" s="1307" t="s">
        <v>998</v>
      </c>
      <c r="D134" s="1307" t="s">
        <v>999</v>
      </c>
      <c r="E134" s="1308">
        <v>1</v>
      </c>
    </row>
    <row r="135" spans="2:5" hidden="1">
      <c r="B135" s="1" t="s">
        <v>693</v>
      </c>
      <c r="C135" s="1" t="s">
        <v>698</v>
      </c>
      <c r="D135" s="1" t="s">
        <v>1000</v>
      </c>
      <c r="E135">
        <v>1</v>
      </c>
    </row>
    <row r="136" spans="2:5" hidden="1">
      <c r="B136" s="1001" t="s">
        <v>794</v>
      </c>
      <c r="C136" s="1001" t="s">
        <v>800</v>
      </c>
      <c r="D136" s="1001" t="s">
        <v>525</v>
      </c>
      <c r="E136" s="652">
        <v>4</v>
      </c>
    </row>
    <row r="137" spans="2:5" hidden="1">
      <c r="B137" s="1307" t="s">
        <v>778</v>
      </c>
      <c r="C137" s="1307" t="s">
        <v>1001</v>
      </c>
      <c r="D137" s="1307" t="s">
        <v>525</v>
      </c>
      <c r="E137" s="1308">
        <v>4</v>
      </c>
    </row>
    <row r="138" spans="2:5" hidden="1">
      <c r="B138" s="1001" t="s">
        <v>724</v>
      </c>
      <c r="C138" s="1001" t="s">
        <v>732</v>
      </c>
      <c r="D138" s="1001" t="s">
        <v>525</v>
      </c>
      <c r="E138" s="652">
        <v>4</v>
      </c>
    </row>
    <row r="139" spans="2:5" hidden="1">
      <c r="B139" s="1001" t="s">
        <v>712</v>
      </c>
      <c r="C139" s="1001" t="s">
        <v>717</v>
      </c>
      <c r="D139" s="1001" t="s">
        <v>525</v>
      </c>
      <c r="E139" s="652">
        <v>4</v>
      </c>
    </row>
  </sheetData>
  <autoFilter ref="B1:E139" xr:uid="{DAA589F1-E4CF-40D9-AA4F-14C9422431EF}">
    <filterColumn colId="2">
      <filters>
        <filter val="Avenue Supermart"/>
      </filters>
    </filterColumn>
    <sortState xmlns:xlrd2="http://schemas.microsoft.com/office/spreadsheetml/2017/richdata2" ref="B2:E139">
      <sortCondition ref="D1:D139"/>
    </sortState>
  </autoFilter>
  <sortState xmlns:xlrd2="http://schemas.microsoft.com/office/spreadsheetml/2017/richdata2" ref="B2:E140">
    <sortCondition ref="D1:D140"/>
  </sortState>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4D7C20-5046-4D39-81E1-FA9F4A2F8000}">
  <dimension ref="B1:E43"/>
  <sheetViews>
    <sheetView topLeftCell="B1" zoomScaleNormal="100" workbookViewId="0">
      <selection activeCell="C17" sqref="C17"/>
    </sheetView>
  </sheetViews>
  <sheetFormatPr defaultRowHeight="14.45"/>
  <cols>
    <col min="2" max="2" width="16.42578125" customWidth="1"/>
    <col min="3" max="3" width="103.28515625" bestFit="1" customWidth="1"/>
    <col min="5" max="5" width="16.28515625" customWidth="1"/>
  </cols>
  <sheetData>
    <row r="1" spans="2:4">
      <c r="B1" s="18" t="s">
        <v>1002</v>
      </c>
      <c r="C1" s="18" t="s">
        <v>495</v>
      </c>
    </row>
    <row r="2" spans="2:4">
      <c r="B2" s="1176" t="s">
        <v>1003</v>
      </c>
      <c r="C2" s="1176" t="s">
        <v>1004</v>
      </c>
    </row>
    <row r="3" spans="2:4">
      <c r="B3" s="1173" t="s">
        <v>1005</v>
      </c>
      <c r="C3" s="1173" t="s">
        <v>1006</v>
      </c>
    </row>
    <row r="4" spans="2:4">
      <c r="B4" s="1176" t="s">
        <v>1003</v>
      </c>
      <c r="C4" s="1176" t="s">
        <v>1007</v>
      </c>
    </row>
    <row r="5" spans="2:4">
      <c r="B5" s="1169" t="s">
        <v>1008</v>
      </c>
      <c r="C5" s="1169" t="s">
        <v>1009</v>
      </c>
      <c r="D5" t="s">
        <v>505</v>
      </c>
    </row>
    <row r="6" spans="2:4">
      <c r="B6" s="1175" t="s">
        <v>1010</v>
      </c>
      <c r="C6" s="1175" t="s">
        <v>1011</v>
      </c>
      <c r="D6" t="s">
        <v>505</v>
      </c>
    </row>
    <row r="7" spans="2:4">
      <c r="B7" s="1170" t="s">
        <v>1012</v>
      </c>
      <c r="C7" s="1170" t="s">
        <v>1013</v>
      </c>
      <c r="D7" t="s">
        <v>505</v>
      </c>
    </row>
    <row r="8" spans="2:4">
      <c r="B8" s="1176" t="s">
        <v>1003</v>
      </c>
      <c r="C8" s="1176" t="s">
        <v>1014</v>
      </c>
    </row>
    <row r="9" spans="2:4">
      <c r="B9" s="1174" t="s">
        <v>1005</v>
      </c>
      <c r="C9" s="1174" t="s">
        <v>1015</v>
      </c>
    </row>
    <row r="10" spans="2:4">
      <c r="B10" s="1154" t="s">
        <v>1010</v>
      </c>
      <c r="C10" s="1154" t="s">
        <v>1016</v>
      </c>
    </row>
    <row r="11" spans="2:4">
      <c r="B11" s="1174" t="s">
        <v>1005</v>
      </c>
      <c r="C11" s="1174" t="s">
        <v>1017</v>
      </c>
    </row>
    <row r="12" spans="2:4">
      <c r="B12" s="1175" t="s">
        <v>1010</v>
      </c>
      <c r="C12" s="1175" t="s">
        <v>1018</v>
      </c>
      <c r="D12" t="s">
        <v>539</v>
      </c>
    </row>
    <row r="13" spans="2:4">
      <c r="B13" s="1169" t="s">
        <v>1008</v>
      </c>
      <c r="C13" s="1169" t="s">
        <v>1019</v>
      </c>
      <c r="D13" t="s">
        <v>539</v>
      </c>
    </row>
    <row r="14" spans="2:4">
      <c r="B14" s="1170" t="s">
        <v>1012</v>
      </c>
      <c r="C14" s="1170" t="s">
        <v>1020</v>
      </c>
      <c r="D14" t="s">
        <v>539</v>
      </c>
    </row>
    <row r="15" spans="2:4">
      <c r="B15" s="1006" t="s">
        <v>1008</v>
      </c>
      <c r="C15" s="1006" t="s">
        <v>1021</v>
      </c>
    </row>
    <row r="16" spans="2:4" ht="18.600000000000001">
      <c r="B16" s="1172" t="s">
        <v>1008</v>
      </c>
      <c r="C16" s="1172" t="s">
        <v>1022</v>
      </c>
    </row>
    <row r="17" spans="2:5">
      <c r="B17" s="1171" t="s">
        <v>1012</v>
      </c>
      <c r="C17" s="1171" t="s">
        <v>1023</v>
      </c>
    </row>
    <row r="18" spans="2:5">
      <c r="B18" s="1006" t="s">
        <v>1008</v>
      </c>
      <c r="C18" s="1006" t="s">
        <v>1024</v>
      </c>
    </row>
    <row r="19" spans="2:5">
      <c r="B19" s="1176" t="s">
        <v>1003</v>
      </c>
      <c r="C19" s="1176" t="s">
        <v>1025</v>
      </c>
    </row>
    <row r="20" spans="2:5">
      <c r="B20" s="1006" t="s">
        <v>1008</v>
      </c>
      <c r="C20" s="1177" t="s">
        <v>1026</v>
      </c>
    </row>
    <row r="21" spans="2:5">
      <c r="B21" s="1176" t="s">
        <v>1003</v>
      </c>
      <c r="C21" s="1176" t="s">
        <v>1027</v>
      </c>
      <c r="D21" s="378" t="s">
        <v>1028</v>
      </c>
    </row>
    <row r="22" spans="2:5">
      <c r="B22" s="1171" t="s">
        <v>1012</v>
      </c>
      <c r="C22" s="1171" t="s">
        <v>1029</v>
      </c>
      <c r="D22" s="378" t="s">
        <v>1028</v>
      </c>
    </row>
    <row r="23" spans="2:5">
      <c r="B23" s="1154" t="s">
        <v>1010</v>
      </c>
      <c r="C23" s="1154" t="s">
        <v>1030</v>
      </c>
      <c r="D23" s="378" t="s">
        <v>1028</v>
      </c>
    </row>
    <row r="24" spans="2:5">
      <c r="B24" s="1174" t="s">
        <v>1005</v>
      </c>
      <c r="C24" s="1174" t="s">
        <v>1031</v>
      </c>
      <c r="D24" s="378" t="s">
        <v>1028</v>
      </c>
    </row>
    <row r="25" spans="2:5">
      <c r="B25" s="1174" t="s">
        <v>1005</v>
      </c>
      <c r="C25" s="1178" t="s">
        <v>1032</v>
      </c>
    </row>
    <row r="26" spans="2:5">
      <c r="B26" s="1006" t="s">
        <v>1008</v>
      </c>
      <c r="C26" s="1006" t="s">
        <v>1033</v>
      </c>
    </row>
    <row r="27" spans="2:5">
      <c r="B27" s="1174" t="s">
        <v>1005</v>
      </c>
      <c r="C27" s="1174" t="s">
        <v>1034</v>
      </c>
    </row>
    <row r="28" spans="2:5">
      <c r="B28" s="1"/>
      <c r="C28" s="1"/>
    </row>
    <row r="30" spans="2:5">
      <c r="C30" s="621" t="s">
        <v>1030</v>
      </c>
    </row>
    <row r="31" spans="2:5" ht="23.1">
      <c r="C31" s="1155" t="s">
        <v>1035</v>
      </c>
      <c r="D31" s="1156" t="s">
        <v>1036</v>
      </c>
      <c r="E31" s="1156" t="s">
        <v>1037</v>
      </c>
    </row>
    <row r="32" spans="2:5">
      <c r="C32" s="1163" t="s">
        <v>1038</v>
      </c>
      <c r="D32" s="1164">
        <v>59.32</v>
      </c>
      <c r="E32" s="1164">
        <v>53.87</v>
      </c>
    </row>
    <row r="33" spans="3:5">
      <c r="C33" s="1165" t="s">
        <v>1039</v>
      </c>
      <c r="D33" s="1166">
        <v>7.34</v>
      </c>
      <c r="E33" s="1166">
        <v>16.14</v>
      </c>
    </row>
    <row r="34" spans="3:5">
      <c r="C34" s="1163" t="s">
        <v>1040</v>
      </c>
      <c r="D34" s="1164">
        <v>5.0999999999999996</v>
      </c>
      <c r="E34" s="1164">
        <v>15.94</v>
      </c>
    </row>
    <row r="35" spans="3:5">
      <c r="C35" s="1161" t="s">
        <v>1041</v>
      </c>
      <c r="D35" s="1160">
        <v>15.36</v>
      </c>
      <c r="E35" s="1160">
        <v>13.68</v>
      </c>
    </row>
    <row r="36" spans="3:5">
      <c r="C36" s="1162" t="s">
        <v>1042</v>
      </c>
      <c r="D36" s="1158">
        <v>12.84</v>
      </c>
      <c r="E36" s="1158">
        <v>0.37</v>
      </c>
    </row>
    <row r="38" spans="3:5" ht="23.1">
      <c r="C38" s="1155" t="s">
        <v>1043</v>
      </c>
      <c r="D38" s="1156" t="s">
        <v>1036</v>
      </c>
      <c r="E38" s="1156" t="s">
        <v>1037</v>
      </c>
    </row>
    <row r="39" spans="3:5">
      <c r="C39" s="1167" t="s">
        <v>1044</v>
      </c>
      <c r="D39" s="1168">
        <v>19.3</v>
      </c>
      <c r="E39" s="1168">
        <v>12.36</v>
      </c>
    </row>
    <row r="40" spans="3:5">
      <c r="C40" s="1167" t="s">
        <v>1045</v>
      </c>
      <c r="D40" s="1168">
        <v>12.84</v>
      </c>
      <c r="E40" s="1168">
        <v>11.89</v>
      </c>
    </row>
    <row r="41" spans="3:5">
      <c r="C41" s="1167" t="s">
        <v>1046</v>
      </c>
      <c r="D41" s="1168">
        <v>10.69</v>
      </c>
      <c r="E41" s="1168">
        <v>3.06</v>
      </c>
    </row>
    <row r="42" spans="3:5">
      <c r="C42" s="1159" t="s">
        <v>1047</v>
      </c>
      <c r="D42" s="1160">
        <v>7.98</v>
      </c>
      <c r="E42" s="1160">
        <v>2.61</v>
      </c>
    </row>
    <row r="43" spans="3:5">
      <c r="C43" s="1157" t="s">
        <v>1048</v>
      </c>
      <c r="D43" s="1158">
        <v>7.25</v>
      </c>
      <c r="E43" s="1158">
        <v>0.96</v>
      </c>
    </row>
  </sheetData>
  <autoFilter ref="B1:C27" xr:uid="{994D7C20-5046-4D39-81E1-FA9F4A2F8000}"/>
  <sortState xmlns:xlrd2="http://schemas.microsoft.com/office/spreadsheetml/2017/richdata2" ref="B2:C28">
    <sortCondition ref="C1:C28"/>
  </sortState>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E94E23-AC8B-4243-B280-8A83366F4E4B}">
  <dimension ref="A1:A13"/>
  <sheetViews>
    <sheetView workbookViewId="0">
      <selection sqref="A1:A12"/>
    </sheetView>
  </sheetViews>
  <sheetFormatPr defaultRowHeight="14.45"/>
  <cols>
    <col min="1" max="1" width="30.28515625" customWidth="1"/>
  </cols>
  <sheetData>
    <row r="1" spans="1:1">
      <c r="A1" s="997" t="s">
        <v>905</v>
      </c>
    </row>
    <row r="2" spans="1:1">
      <c r="A2" s="404" t="s">
        <v>909</v>
      </c>
    </row>
    <row r="3" spans="1:1">
      <c r="A3" s="1011" t="s">
        <v>488</v>
      </c>
    </row>
    <row r="4" spans="1:1">
      <c r="A4" s="1" t="s">
        <v>938</v>
      </c>
    </row>
    <row r="5" spans="1:1">
      <c r="A5" s="1" t="s">
        <v>540</v>
      </c>
    </row>
    <row r="6" spans="1:1">
      <c r="A6" s="999" t="s">
        <v>548</v>
      </c>
    </row>
    <row r="7" spans="1:1">
      <c r="A7" s="1001" t="s">
        <v>543</v>
      </c>
    </row>
    <row r="8" spans="1:1">
      <c r="A8" s="999" t="s">
        <v>952</v>
      </c>
    </row>
    <row r="9" spans="1:1">
      <c r="A9" s="400" t="s">
        <v>406</v>
      </c>
    </row>
    <row r="10" spans="1:1">
      <c r="A10" s="1002" t="s">
        <v>519</v>
      </c>
    </row>
    <row r="11" spans="1:1">
      <c r="A11" s="1002"/>
    </row>
    <row r="12" spans="1:1">
      <c r="A12" s="1" t="s">
        <v>980</v>
      </c>
    </row>
    <row r="13" spans="1:1">
      <c r="A13" s="1"/>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F62C9D-2E05-4DD4-8647-09DB65005D28}">
  <dimension ref="A1:N148"/>
  <sheetViews>
    <sheetView topLeftCell="C1" zoomScale="90" zoomScaleNormal="90" workbookViewId="0">
      <selection activeCell="F29" sqref="F29"/>
    </sheetView>
  </sheetViews>
  <sheetFormatPr defaultRowHeight="14.45"/>
  <cols>
    <col min="1" max="1" width="23" style="575" customWidth="1"/>
    <col min="2" max="2" width="39" style="584" customWidth="1"/>
    <col min="3" max="3" width="15.28515625" style="1121" customWidth="1"/>
    <col min="4" max="4" width="23.7109375" style="156" customWidth="1"/>
    <col min="5" max="5" width="23.5703125" style="156" customWidth="1"/>
    <col min="6" max="6" width="7.7109375" customWidth="1"/>
    <col min="7" max="7" width="19.28515625" customWidth="1"/>
    <col min="8" max="8" width="20.5703125" customWidth="1"/>
    <col min="10" max="10" width="21.28515625" customWidth="1"/>
    <col min="11" max="11" width="21.5703125" customWidth="1"/>
    <col min="12" max="12" width="14.7109375" customWidth="1"/>
    <col min="13" max="13" width="17.42578125" customWidth="1"/>
    <col min="14" max="14" width="11.28515625" bestFit="1" customWidth="1"/>
  </cols>
  <sheetData>
    <row r="1" spans="1:14">
      <c r="E1" s="583" t="s">
        <v>491</v>
      </c>
      <c r="F1" s="18" t="s">
        <v>1049</v>
      </c>
      <c r="G1" s="18" t="s">
        <v>493</v>
      </c>
      <c r="H1" s="392" t="s">
        <v>494</v>
      </c>
    </row>
    <row r="2" spans="1:14">
      <c r="A2" s="583" t="s">
        <v>1050</v>
      </c>
      <c r="B2" s="18" t="s">
        <v>1</v>
      </c>
      <c r="C2" s="395" t="s">
        <v>1049</v>
      </c>
      <c r="E2" s="1095" t="s">
        <v>499</v>
      </c>
      <c r="F2" s="710"/>
      <c r="G2" s="713">
        <v>1</v>
      </c>
      <c r="H2" s="713"/>
      <c r="J2" s="1"/>
      <c r="K2" s="1" t="s">
        <v>1051</v>
      </c>
      <c r="L2" s="1" t="s">
        <v>1052</v>
      </c>
      <c r="M2" s="1" t="s">
        <v>1053</v>
      </c>
    </row>
    <row r="3" spans="1:14" ht="23.1">
      <c r="A3" s="672" t="s">
        <v>1054</v>
      </c>
      <c r="B3" s="681" t="s">
        <v>1055</v>
      </c>
      <c r="C3" s="1122">
        <f>0.38+0.39+0.57</f>
        <v>1.3399999999999999</v>
      </c>
      <c r="D3" s="1080"/>
      <c r="E3" s="1095" t="s">
        <v>503</v>
      </c>
      <c r="F3" s="709">
        <v>27.74</v>
      </c>
      <c r="G3" s="713">
        <v>6.81</v>
      </c>
      <c r="H3" s="713">
        <v>0.3</v>
      </c>
      <c r="J3" s="1" t="s">
        <v>1056</v>
      </c>
      <c r="K3" s="674">
        <v>60</v>
      </c>
      <c r="L3" s="674">
        <v>37</v>
      </c>
      <c r="M3" s="675">
        <f>L3-K3</f>
        <v>-23</v>
      </c>
    </row>
    <row r="4" spans="1:14">
      <c r="A4" s="672"/>
      <c r="B4" s="681" t="s">
        <v>1057</v>
      </c>
      <c r="C4" s="1122">
        <f>0.3+1+0.25</f>
        <v>1.55</v>
      </c>
      <c r="E4" s="1095" t="s">
        <v>507</v>
      </c>
      <c r="F4" s="709">
        <v>37.56</v>
      </c>
      <c r="G4" s="713">
        <v>2.17</v>
      </c>
      <c r="H4" s="713">
        <v>0.67</v>
      </c>
      <c r="J4" s="1" t="s">
        <v>1058</v>
      </c>
      <c r="K4" s="1">
        <v>35</v>
      </c>
      <c r="L4" s="1">
        <v>18.600000000000001</v>
      </c>
      <c r="M4" s="675">
        <f>L4-K4</f>
        <v>-16.399999999999999</v>
      </c>
    </row>
    <row r="5" spans="1:14" ht="18.600000000000001">
      <c r="A5" s="673"/>
      <c r="B5" s="614" t="s">
        <v>1059</v>
      </c>
      <c r="C5" s="1122"/>
      <c r="E5" s="1096" t="s">
        <v>511</v>
      </c>
      <c r="F5" s="937">
        <v>0.34</v>
      </c>
      <c r="G5" s="713"/>
      <c r="H5" s="713"/>
      <c r="J5" s="639" t="s">
        <v>1060</v>
      </c>
      <c r="K5" s="1323">
        <f>SUM(K3:K4)</f>
        <v>95</v>
      </c>
      <c r="L5" s="1323">
        <f>SUM(L3:L4)</f>
        <v>55.6</v>
      </c>
      <c r="M5" s="1323">
        <f>SUM(M3:M4)</f>
        <v>-39.4</v>
      </c>
      <c r="N5" s="1324"/>
    </row>
    <row r="6" spans="1:14" ht="18.600000000000001">
      <c r="A6" s="608"/>
      <c r="B6" s="443"/>
      <c r="C6" s="1123"/>
      <c r="E6" s="1096" t="s">
        <v>1061</v>
      </c>
      <c r="F6" s="937">
        <v>0.56000000000000005</v>
      </c>
      <c r="G6" s="713"/>
      <c r="H6" s="713"/>
      <c r="J6" s="676" t="s">
        <v>1062</v>
      </c>
      <c r="K6" s="15">
        <f>(K5*1000) *83</f>
        <v>7885000</v>
      </c>
      <c r="L6" s="15">
        <f>(L5*1000) *83</f>
        <v>4614800</v>
      </c>
      <c r="M6" s="1325">
        <f>(M5*1000) *83</f>
        <v>-3270200</v>
      </c>
    </row>
    <row r="7" spans="1:14" ht="29.1">
      <c r="A7" s="1009" t="s">
        <v>1063</v>
      </c>
      <c r="B7" s="614" t="s">
        <v>410</v>
      </c>
      <c r="C7" s="1124">
        <f>0.15+0.12</f>
        <v>0.27</v>
      </c>
      <c r="E7" s="1095" t="s">
        <v>490</v>
      </c>
      <c r="F7" s="709">
        <v>14.7</v>
      </c>
      <c r="G7" s="713">
        <v>0.3</v>
      </c>
      <c r="H7" s="713">
        <v>0.6</v>
      </c>
    </row>
    <row r="8" spans="1:14" ht="18.600000000000001">
      <c r="A8" s="608"/>
      <c r="B8" s="443"/>
      <c r="C8" s="1125"/>
      <c r="E8" s="1097" t="s">
        <v>516</v>
      </c>
      <c r="F8" s="712">
        <f>SUM(F3:F7)</f>
        <v>80.900000000000006</v>
      </c>
      <c r="G8" s="711">
        <f>SUM(G2:G7)</f>
        <v>10.280000000000001</v>
      </c>
      <c r="H8" s="711">
        <f>SUM(H2:H7)</f>
        <v>1.5699999999999998</v>
      </c>
    </row>
    <row r="9" spans="1:14">
      <c r="A9" s="1009"/>
      <c r="B9" s="614" t="s">
        <v>1064</v>
      </c>
      <c r="C9" s="1124">
        <v>1</v>
      </c>
      <c r="D9" s="156" t="s">
        <v>1065</v>
      </c>
      <c r="E9" s="608"/>
      <c r="F9" s="649">
        <v>78.5</v>
      </c>
      <c r="G9" s="649"/>
      <c r="H9" s="649"/>
    </row>
    <row r="10" spans="1:14">
      <c r="E10" s="608"/>
      <c r="F10" s="649"/>
      <c r="G10" s="18" t="s">
        <v>1066</v>
      </c>
      <c r="H10" s="400" t="s">
        <v>1067</v>
      </c>
      <c r="J10" s="1012" t="s">
        <v>1068</v>
      </c>
      <c r="K10" s="1" t="s">
        <v>580</v>
      </c>
    </row>
    <row r="11" spans="1:14">
      <c r="A11" s="673" t="s">
        <v>1069</v>
      </c>
      <c r="B11" s="1017" t="s">
        <v>26</v>
      </c>
      <c r="C11" s="1126">
        <v>0</v>
      </c>
      <c r="E11" s="608"/>
      <c r="F11" s="649"/>
      <c r="G11" s="443"/>
      <c r="H11" s="404" t="s">
        <v>622</v>
      </c>
      <c r="J11" s="1"/>
      <c r="K11" s="400" t="s">
        <v>275</v>
      </c>
    </row>
    <row r="12" spans="1:14">
      <c r="A12" s="673" t="s">
        <v>1069</v>
      </c>
      <c r="B12" s="1017" t="s">
        <v>1070</v>
      </c>
      <c r="C12" s="1127">
        <f>0.93+0.35+1.27</f>
        <v>2.5499999999999998</v>
      </c>
      <c r="G12" s="378"/>
      <c r="H12" s="378" t="s">
        <v>1071</v>
      </c>
      <c r="J12" s="1"/>
      <c r="K12" s="400" t="s">
        <v>42</v>
      </c>
    </row>
    <row r="13" spans="1:14" ht="29.1">
      <c r="A13" s="673" t="s">
        <v>1069</v>
      </c>
      <c r="B13" s="1017" t="s">
        <v>354</v>
      </c>
      <c r="C13" s="1127"/>
      <c r="G13" s="583" t="s">
        <v>1072</v>
      </c>
      <c r="H13" s="443" t="s">
        <v>607</v>
      </c>
    </row>
    <row r="14" spans="1:14">
      <c r="A14" s="673" t="s">
        <v>1069</v>
      </c>
      <c r="B14" s="1017" t="s">
        <v>171</v>
      </c>
      <c r="C14" s="1127">
        <v>2.64</v>
      </c>
      <c r="G14" s="1"/>
      <c r="H14" s="443" t="s">
        <v>1073</v>
      </c>
      <c r="J14" s="1012" t="s">
        <v>1074</v>
      </c>
      <c r="K14" s="378" t="s">
        <v>23</v>
      </c>
    </row>
    <row r="15" spans="1:14">
      <c r="A15" s="673"/>
      <c r="B15" s="1017" t="s">
        <v>406</v>
      </c>
      <c r="C15" s="1127"/>
      <c r="E15" s="1098"/>
      <c r="G15" s="1"/>
      <c r="H15" s="400" t="s">
        <v>1075</v>
      </c>
    </row>
    <row r="16" spans="1:14">
      <c r="A16" s="673"/>
      <c r="B16" s="1017" t="s">
        <v>928</v>
      </c>
      <c r="C16" s="1127"/>
      <c r="D16" s="1081"/>
      <c r="E16" s="1098"/>
      <c r="G16" s="1"/>
      <c r="H16" s="443" t="s">
        <v>1076</v>
      </c>
      <c r="J16" s="1012" t="s">
        <v>1077</v>
      </c>
      <c r="K16" s="378" t="s">
        <v>1078</v>
      </c>
    </row>
    <row r="17" spans="1:11">
      <c r="C17" s="1128"/>
      <c r="D17" s="1082"/>
    </row>
    <row r="18" spans="1:11">
      <c r="A18" s="650" t="s">
        <v>1079</v>
      </c>
      <c r="B18" s="651" t="s">
        <v>546</v>
      </c>
      <c r="C18" s="1129">
        <v>0.23</v>
      </c>
      <c r="D18" s="1081"/>
      <c r="G18" s="18" t="s">
        <v>843</v>
      </c>
      <c r="H18" s="1" t="s">
        <v>1080</v>
      </c>
      <c r="J18" s="1012" t="s">
        <v>1081</v>
      </c>
      <c r="K18" s="378" t="s">
        <v>223</v>
      </c>
    </row>
    <row r="19" spans="1:11">
      <c r="A19" s="650" t="s">
        <v>1079</v>
      </c>
      <c r="B19" s="651" t="s">
        <v>1082</v>
      </c>
      <c r="C19" s="1129">
        <v>0.24</v>
      </c>
      <c r="D19" s="1083"/>
      <c r="G19" s="260"/>
      <c r="H19" s="260"/>
    </row>
    <row r="20" spans="1:11">
      <c r="A20" s="650" t="s">
        <v>1079</v>
      </c>
      <c r="B20" s="651" t="s">
        <v>1083</v>
      </c>
      <c r="C20" s="1129">
        <f>0.86+0.4</f>
        <v>1.26</v>
      </c>
      <c r="D20" s="1084"/>
      <c r="G20" s="1012" t="s">
        <v>1079</v>
      </c>
      <c r="H20" s="400" t="s">
        <v>538</v>
      </c>
    </row>
    <row r="21" spans="1:11" ht="29.1">
      <c r="A21" s="650" t="s">
        <v>1079</v>
      </c>
      <c r="B21" s="651" t="s">
        <v>1084</v>
      </c>
      <c r="C21" s="1130">
        <f>1.14</f>
        <v>1.1399999999999999</v>
      </c>
      <c r="G21" s="1"/>
      <c r="H21" s="400" t="s">
        <v>550</v>
      </c>
      <c r="J21" s="1014" t="s">
        <v>1085</v>
      </c>
      <c r="K21" s="1015" t="s">
        <v>1086</v>
      </c>
    </row>
    <row r="22" spans="1:11">
      <c r="A22" s="650" t="s">
        <v>1079</v>
      </c>
      <c r="B22" s="651" t="s">
        <v>1087</v>
      </c>
      <c r="C22" s="1130">
        <v>2.4</v>
      </c>
      <c r="G22" s="584"/>
      <c r="H22" s="1008" t="s">
        <v>1088</v>
      </c>
      <c r="J22" s="1015"/>
      <c r="K22" s="1015" t="s">
        <v>140</v>
      </c>
    </row>
    <row r="23" spans="1:11">
      <c r="A23" s="653" t="s">
        <v>1079</v>
      </c>
      <c r="B23" s="654" t="s">
        <v>1089</v>
      </c>
      <c r="C23" s="1131">
        <f>0.82+0.52+1.28</f>
        <v>2.62</v>
      </c>
      <c r="G23" s="584"/>
      <c r="H23" s="1008" t="s">
        <v>952</v>
      </c>
      <c r="J23" s="1015"/>
      <c r="K23" s="1015" t="s">
        <v>144</v>
      </c>
    </row>
    <row r="24" spans="1:11">
      <c r="A24" s="650" t="s">
        <v>1079</v>
      </c>
      <c r="B24" s="651" t="s">
        <v>1090</v>
      </c>
      <c r="C24" s="1130">
        <f>0.9+0.54</f>
        <v>1.44</v>
      </c>
      <c r="J24" s="1015"/>
      <c r="K24" s="1015"/>
    </row>
    <row r="25" spans="1:11">
      <c r="A25" s="650"/>
      <c r="B25" s="651" t="s">
        <v>367</v>
      </c>
      <c r="C25" s="1130"/>
      <c r="G25" s="1012" t="s">
        <v>1091</v>
      </c>
      <c r="H25" s="644" t="s">
        <v>1092</v>
      </c>
      <c r="J25" s="1015"/>
      <c r="K25" s="1015" t="s">
        <v>191</v>
      </c>
    </row>
    <row r="26" spans="1:11">
      <c r="A26" s="650"/>
      <c r="B26" s="651" t="s">
        <v>1093</v>
      </c>
      <c r="C26" s="1130"/>
      <c r="G26" s="378"/>
      <c r="H26" s="644" t="s">
        <v>406</v>
      </c>
      <c r="J26" s="1015"/>
      <c r="K26" s="1015" t="s">
        <v>198</v>
      </c>
    </row>
    <row r="27" spans="1:11" ht="27" customHeight="1">
      <c r="A27" s="650"/>
      <c r="B27" s="651" t="s">
        <v>1094</v>
      </c>
      <c r="C27" s="1130">
        <v>0.68</v>
      </c>
      <c r="D27" s="1085" t="s">
        <v>1095</v>
      </c>
      <c r="J27" s="1015"/>
      <c r="K27" s="1015" t="s">
        <v>568</v>
      </c>
    </row>
    <row r="28" spans="1:11">
      <c r="D28" s="1086"/>
      <c r="E28" s="1099" t="s">
        <v>1096</v>
      </c>
      <c r="F28" s="643"/>
      <c r="G28" s="1012" t="s">
        <v>1097</v>
      </c>
      <c r="H28" s="443" t="s">
        <v>983</v>
      </c>
      <c r="J28" s="1015"/>
      <c r="K28" s="1015" t="s">
        <v>1098</v>
      </c>
    </row>
    <row r="29" spans="1:11">
      <c r="G29" s="378"/>
      <c r="H29" s="1" t="s">
        <v>207</v>
      </c>
    </row>
    <row r="30" spans="1:11" ht="29.1">
      <c r="A30" s="628" t="s">
        <v>1099</v>
      </c>
      <c r="B30" s="629" t="s">
        <v>1100</v>
      </c>
      <c r="C30" s="1132"/>
      <c r="G30" s="378"/>
      <c r="H30" s="1" t="s">
        <v>667</v>
      </c>
      <c r="J30" s="1013" t="s">
        <v>1101</v>
      </c>
      <c r="K30" s="1" t="s">
        <v>1102</v>
      </c>
    </row>
    <row r="31" spans="1:11">
      <c r="A31" s="610"/>
      <c r="B31" s="629" t="s">
        <v>602</v>
      </c>
      <c r="C31" s="1133"/>
      <c r="G31" s="378"/>
      <c r="H31" s="1" t="s">
        <v>219</v>
      </c>
      <c r="K31" s="1" t="s">
        <v>1103</v>
      </c>
    </row>
    <row r="32" spans="1:11">
      <c r="A32" s="610"/>
      <c r="B32" s="655"/>
      <c r="C32" s="1133"/>
      <c r="G32" s="378"/>
      <c r="H32" s="1" t="s">
        <v>1104</v>
      </c>
    </row>
    <row r="33" spans="1:11">
      <c r="A33" s="630" t="s">
        <v>1105</v>
      </c>
      <c r="B33" s="682" t="s">
        <v>1106</v>
      </c>
      <c r="C33" s="1134">
        <v>2.4500000000000002</v>
      </c>
      <c r="G33" s="1012" t="s">
        <v>1107</v>
      </c>
      <c r="H33" s="1" t="s">
        <v>209</v>
      </c>
      <c r="J33" s="583" t="s">
        <v>1108</v>
      </c>
      <c r="K33" s="1" t="s">
        <v>70</v>
      </c>
    </row>
    <row r="34" spans="1:11">
      <c r="A34" s="628"/>
      <c r="B34" s="631" t="s">
        <v>42</v>
      </c>
      <c r="C34" s="1132"/>
      <c r="G34" s="1"/>
      <c r="H34" s="400" t="s">
        <v>285</v>
      </c>
      <c r="J34" s="378"/>
      <c r="K34" s="1" t="s">
        <v>313</v>
      </c>
    </row>
    <row r="35" spans="1:11">
      <c r="A35" s="612"/>
      <c r="B35" s="609" t="s">
        <v>275</v>
      </c>
      <c r="C35" s="1135">
        <v>0.2</v>
      </c>
      <c r="J35" s="378"/>
      <c r="K35" s="1" t="s">
        <v>222</v>
      </c>
    </row>
    <row r="36" spans="1:11">
      <c r="G36" s="1012" t="s">
        <v>839</v>
      </c>
      <c r="H36" s="952" t="s">
        <v>543</v>
      </c>
      <c r="J36" s="378"/>
      <c r="K36" s="1" t="s">
        <v>1109</v>
      </c>
    </row>
    <row r="37" spans="1:11">
      <c r="G37" s="1"/>
      <c r="H37" s="1" t="s">
        <v>601</v>
      </c>
    </row>
    <row r="38" spans="1:11">
      <c r="A38" s="628" t="s">
        <v>843</v>
      </c>
      <c r="B38" s="629" t="s">
        <v>249</v>
      </c>
      <c r="C38" s="1132">
        <f>0.19+0.9+1.94+0.29+0.29</f>
        <v>3.6100000000000003</v>
      </c>
      <c r="D38" s="1085"/>
      <c r="G38" s="1"/>
      <c r="H38" s="1" t="s">
        <v>1110</v>
      </c>
      <c r="J38" s="583" t="s">
        <v>1111</v>
      </c>
      <c r="K38" s="1016" t="s">
        <v>676</v>
      </c>
    </row>
    <row r="39" spans="1:11">
      <c r="D39" s="822"/>
      <c r="E39" s="822" t="s">
        <v>35</v>
      </c>
      <c r="G39" s="1"/>
      <c r="H39" s="1" t="s">
        <v>57</v>
      </c>
    </row>
    <row r="40" spans="1:11">
      <c r="A40" s="632" t="s">
        <v>1112</v>
      </c>
      <c r="B40" s="629" t="s">
        <v>526</v>
      </c>
      <c r="C40" s="1132">
        <v>0.36</v>
      </c>
      <c r="G40" s="1"/>
      <c r="H40" s="443" t="s">
        <v>377</v>
      </c>
    </row>
    <row r="41" spans="1:11">
      <c r="A41" s="632" t="s">
        <v>1112</v>
      </c>
      <c r="B41" s="629" t="s">
        <v>1113</v>
      </c>
      <c r="C41" s="1132">
        <v>0.23</v>
      </c>
      <c r="G41" s="1"/>
      <c r="H41" s="1" t="s">
        <v>577</v>
      </c>
    </row>
    <row r="42" spans="1:11">
      <c r="A42" s="632" t="s">
        <v>1112</v>
      </c>
      <c r="B42" s="629" t="s">
        <v>530</v>
      </c>
      <c r="C42" s="1132">
        <v>0.11</v>
      </c>
      <c r="D42" s="822"/>
      <c r="E42" s="822" t="s">
        <v>35</v>
      </c>
    </row>
    <row r="43" spans="1:11">
      <c r="A43" s="632" t="s">
        <v>1112</v>
      </c>
      <c r="B43" s="633" t="s">
        <v>79</v>
      </c>
      <c r="C43" s="1136">
        <v>2.77</v>
      </c>
    </row>
    <row r="44" spans="1:11">
      <c r="A44" s="632" t="s">
        <v>1112</v>
      </c>
      <c r="B44" s="634" t="s">
        <v>1114</v>
      </c>
      <c r="C44" s="1137">
        <v>0</v>
      </c>
      <c r="G44" s="1012" t="s">
        <v>1115</v>
      </c>
      <c r="H44" s="644" t="s">
        <v>905</v>
      </c>
    </row>
    <row r="45" spans="1:11">
      <c r="A45" s="628"/>
      <c r="B45" s="631" t="s">
        <v>1116</v>
      </c>
      <c r="C45" s="1138"/>
      <c r="G45" s="378"/>
      <c r="H45" s="378" t="s">
        <v>79</v>
      </c>
    </row>
    <row r="46" spans="1:11">
      <c r="A46" s="673"/>
      <c r="B46" s="1010" t="s">
        <v>1117</v>
      </c>
      <c r="C46" s="1139">
        <v>4</v>
      </c>
      <c r="G46" s="378"/>
      <c r="H46" s="378" t="s">
        <v>1117</v>
      </c>
    </row>
    <row r="47" spans="1:11">
      <c r="B47" s="1"/>
      <c r="C47" s="397"/>
      <c r="H47" s="961" t="s">
        <v>1118</v>
      </c>
    </row>
    <row r="48" spans="1:11">
      <c r="A48" s="628" t="s">
        <v>1077</v>
      </c>
      <c r="B48" s="631" t="s">
        <v>1119</v>
      </c>
      <c r="C48" s="1140">
        <f>0.44+0.17</f>
        <v>0.61</v>
      </c>
    </row>
    <row r="49" spans="1:9">
      <c r="A49" s="628"/>
      <c r="B49" s="629" t="s">
        <v>1120</v>
      </c>
      <c r="C49" s="1132"/>
      <c r="H49" t="s">
        <v>525</v>
      </c>
    </row>
    <row r="50" spans="1:9">
      <c r="D50" s="822"/>
      <c r="E50" s="822" t="s">
        <v>35</v>
      </c>
    </row>
    <row r="51" spans="1:9">
      <c r="A51" s="628" t="s">
        <v>1121</v>
      </c>
      <c r="B51" s="629" t="s">
        <v>557</v>
      </c>
      <c r="C51" s="1132">
        <f>0.73+0.75</f>
        <v>1.48</v>
      </c>
    </row>
    <row r="52" spans="1:9">
      <c r="A52" s="575" t="s">
        <v>1121</v>
      </c>
      <c r="B52" s="629" t="s">
        <v>582</v>
      </c>
      <c r="C52" s="1132">
        <v>0.67</v>
      </c>
    </row>
    <row r="53" spans="1:9">
      <c r="A53" s="628"/>
      <c r="B53" s="635" t="s">
        <v>175</v>
      </c>
      <c r="C53" s="1141">
        <v>0.6</v>
      </c>
    </row>
    <row r="54" spans="1:9">
      <c r="B54" s="635" t="s">
        <v>577</v>
      </c>
      <c r="C54" s="1142">
        <v>2</v>
      </c>
    </row>
    <row r="55" spans="1:9">
      <c r="B55" s="635" t="s">
        <v>203</v>
      </c>
      <c r="C55" s="1142">
        <v>0.37</v>
      </c>
    </row>
    <row r="56" spans="1:9">
      <c r="B56" s="1" t="s">
        <v>578</v>
      </c>
      <c r="C56" s="1143">
        <v>1.8</v>
      </c>
    </row>
    <row r="57" spans="1:9" ht="43.5">
      <c r="B57" s="635" t="s">
        <v>377</v>
      </c>
      <c r="C57" s="397">
        <v>0.67</v>
      </c>
      <c r="D57" s="1087">
        <v>-7.3999999999999996E-2</v>
      </c>
      <c r="E57" s="156" t="s">
        <v>1122</v>
      </c>
    </row>
    <row r="58" spans="1:9" ht="43.5">
      <c r="B58" s="1"/>
      <c r="C58" s="397"/>
      <c r="D58" s="1087">
        <v>-3.5000000000000003E-2</v>
      </c>
      <c r="E58" s="156" t="s">
        <v>1123</v>
      </c>
    </row>
    <row r="59" spans="1:9" ht="43.5">
      <c r="A59" s="673"/>
      <c r="B59" s="614" t="s">
        <v>223</v>
      </c>
      <c r="C59" s="1124">
        <v>2.8</v>
      </c>
      <c r="D59" s="1088"/>
      <c r="E59" s="156" t="s">
        <v>1124</v>
      </c>
    </row>
    <row r="60" spans="1:9" ht="43.5">
      <c r="B60" s="1"/>
      <c r="C60" s="397"/>
      <c r="D60" s="1088"/>
      <c r="E60" s="1100" t="s">
        <v>1125</v>
      </c>
      <c r="F60" s="645"/>
      <c r="G60" s="645"/>
      <c r="H60" s="645"/>
      <c r="I60" s="645"/>
    </row>
    <row r="61" spans="1:9">
      <c r="B61" s="584" t="s">
        <v>1126</v>
      </c>
      <c r="D61" s="1088"/>
    </row>
    <row r="62" spans="1:9">
      <c r="D62" s="1088" t="s">
        <v>35</v>
      </c>
    </row>
    <row r="63" spans="1:9">
      <c r="A63" s="575" t="s">
        <v>1127</v>
      </c>
      <c r="B63" s="629" t="s">
        <v>1128</v>
      </c>
      <c r="C63" s="1132">
        <f>0.86+0.56+0.43</f>
        <v>1.8499999999999999</v>
      </c>
      <c r="D63" s="1088"/>
    </row>
    <row r="64" spans="1:9">
      <c r="B64" s="635" t="s">
        <v>667</v>
      </c>
      <c r="C64" s="1141">
        <v>1.69</v>
      </c>
      <c r="D64" s="1088"/>
    </row>
    <row r="65" spans="1:8">
      <c r="B65"/>
      <c r="C65" s="397"/>
      <c r="D65" s="1087">
        <v>0.01</v>
      </c>
    </row>
    <row r="66" spans="1:8">
      <c r="B66" s="635" t="s">
        <v>207</v>
      </c>
      <c r="C66" s="1141">
        <v>1.92</v>
      </c>
      <c r="D66" s="1088"/>
    </row>
    <row r="67" spans="1:8">
      <c r="B67" s="1" t="s">
        <v>219</v>
      </c>
      <c r="C67" s="397">
        <f>1+0.6</f>
        <v>1.6</v>
      </c>
      <c r="D67" s="1088"/>
    </row>
    <row r="68" spans="1:8">
      <c r="B68" s="629" t="s">
        <v>1129</v>
      </c>
      <c r="C68" s="1132"/>
      <c r="D68" s="1089" t="s">
        <v>1130</v>
      </c>
    </row>
    <row r="69" spans="1:8">
      <c r="B69" s="629" t="s">
        <v>1104</v>
      </c>
      <c r="C69" s="1132">
        <v>0</v>
      </c>
      <c r="D69" s="1090">
        <v>0.02</v>
      </c>
    </row>
    <row r="70" spans="1:8">
      <c r="D70" s="1090">
        <v>7.4999999999999997E-2</v>
      </c>
    </row>
    <row r="71" spans="1:8" ht="29.1">
      <c r="A71" s="575" t="s">
        <v>1131</v>
      </c>
      <c r="B71" s="635" t="s">
        <v>209</v>
      </c>
      <c r="C71" s="1141">
        <f>1.37</f>
        <v>1.37</v>
      </c>
      <c r="D71" s="1087">
        <v>-0.09</v>
      </c>
    </row>
    <row r="72" spans="1:8">
      <c r="B72" s="635" t="s">
        <v>285</v>
      </c>
      <c r="C72" s="1144">
        <f>0.74+1</f>
        <v>1.74</v>
      </c>
      <c r="D72" s="1091"/>
      <c r="E72" s="1101"/>
      <c r="F72" s="622"/>
      <c r="G72" s="622"/>
      <c r="H72" s="622"/>
    </row>
    <row r="73" spans="1:8">
      <c r="D73" s="1087"/>
    </row>
    <row r="74" spans="1:8" ht="29.1">
      <c r="A74" s="608" t="s">
        <v>1085</v>
      </c>
      <c r="B74" s="635" t="s">
        <v>1086</v>
      </c>
      <c r="C74" s="1141">
        <f>0.56+0.6</f>
        <v>1.1600000000000001</v>
      </c>
      <c r="D74" s="1092">
        <v>-4.2999999999999997E-2</v>
      </c>
      <c r="E74" s="156" t="s">
        <v>1132</v>
      </c>
    </row>
    <row r="75" spans="1:8">
      <c r="B75" s="635" t="s">
        <v>140</v>
      </c>
      <c r="C75" s="1141">
        <v>0</v>
      </c>
      <c r="D75" s="1092">
        <v>-0.16</v>
      </c>
    </row>
    <row r="76" spans="1:8">
      <c r="B76" s="1" t="s">
        <v>144</v>
      </c>
      <c r="C76" s="397">
        <v>0.6</v>
      </c>
    </row>
    <row r="77" spans="1:8" ht="72.599999999999994">
      <c r="B77" s="1" t="s">
        <v>1103</v>
      </c>
      <c r="C77" s="397">
        <v>0</v>
      </c>
      <c r="E77" s="156" t="s">
        <v>1133</v>
      </c>
    </row>
    <row r="78" spans="1:8" ht="72.599999999999994">
      <c r="B78" s="636" t="s">
        <v>191</v>
      </c>
      <c r="C78" s="1145">
        <v>0.52</v>
      </c>
      <c r="E78" s="156" t="s">
        <v>1134</v>
      </c>
    </row>
    <row r="79" spans="1:8" ht="43.5">
      <c r="B79" s="1" t="s">
        <v>198</v>
      </c>
      <c r="C79" s="397">
        <v>0.69</v>
      </c>
      <c r="E79" s="156" t="s">
        <v>1135</v>
      </c>
    </row>
    <row r="80" spans="1:8" ht="57.95">
      <c r="B80" s="584" t="s">
        <v>568</v>
      </c>
      <c r="C80" s="1121">
        <v>0.22</v>
      </c>
      <c r="D80" s="1093"/>
      <c r="E80" s="156" t="s">
        <v>1136</v>
      </c>
    </row>
    <row r="81" spans="1:5">
      <c r="A81" s="584"/>
      <c r="B81" s="584" t="s">
        <v>1098</v>
      </c>
      <c r="C81" s="1121">
        <v>0.18</v>
      </c>
    </row>
    <row r="82" spans="1:5" ht="57.95">
      <c r="A82" s="575" t="s">
        <v>1101</v>
      </c>
      <c r="B82" s="614" t="s">
        <v>1102</v>
      </c>
      <c r="C82" s="1124">
        <v>1</v>
      </c>
      <c r="E82" s="156" t="s">
        <v>1137</v>
      </c>
    </row>
    <row r="85" spans="1:5">
      <c r="A85" s="575" t="s">
        <v>1108</v>
      </c>
      <c r="B85" s="635" t="s">
        <v>70</v>
      </c>
      <c r="C85" s="1141">
        <f>1.62+1.12</f>
        <v>2.74</v>
      </c>
    </row>
    <row r="86" spans="1:5">
      <c r="B86" s="635" t="s">
        <v>313</v>
      </c>
      <c r="C86" s="1141">
        <v>5</v>
      </c>
    </row>
    <row r="87" spans="1:5">
      <c r="B87" s="635" t="s">
        <v>222</v>
      </c>
      <c r="C87" s="1141">
        <f>1.64+1.4</f>
        <v>3.04</v>
      </c>
    </row>
    <row r="88" spans="1:5">
      <c r="B88" s="124" t="s">
        <v>1109</v>
      </c>
      <c r="C88" s="1146"/>
    </row>
    <row r="89" spans="1:5">
      <c r="B89" s="1"/>
      <c r="C89" s="397"/>
    </row>
    <row r="90" spans="1:5">
      <c r="A90" s="575" t="s">
        <v>1066</v>
      </c>
      <c r="B90" s="635" t="s">
        <v>229</v>
      </c>
      <c r="C90" s="1141">
        <f>2.18+0.52+0.7+1.29</f>
        <v>4.6900000000000004</v>
      </c>
    </row>
    <row r="91" spans="1:5">
      <c r="B91" s="637" t="s">
        <v>130</v>
      </c>
      <c r="C91" s="1143">
        <v>0.84</v>
      </c>
      <c r="D91" s="156" t="s">
        <v>1138</v>
      </c>
    </row>
    <row r="92" spans="1:5">
      <c r="B92" s="1"/>
      <c r="C92" s="397"/>
    </row>
    <row r="93" spans="1:5">
      <c r="A93" s="575" t="s">
        <v>1139</v>
      </c>
      <c r="B93" s="1" t="s">
        <v>168</v>
      </c>
      <c r="C93" s="397">
        <v>0.38</v>
      </c>
    </row>
    <row r="95" spans="1:5" ht="29.1">
      <c r="A95" s="575" t="s">
        <v>1140</v>
      </c>
      <c r="B95" s="1" t="s">
        <v>107</v>
      </c>
      <c r="C95" s="397"/>
      <c r="D95" s="156" t="s">
        <v>1138</v>
      </c>
    </row>
    <row r="96" spans="1:5">
      <c r="B96" s="1"/>
      <c r="C96" s="397"/>
    </row>
    <row r="97" spans="1:4">
      <c r="D97" s="1094" t="s">
        <v>1141</v>
      </c>
    </row>
    <row r="98" spans="1:4" ht="29.1">
      <c r="A98" s="608" t="s">
        <v>1142</v>
      </c>
      <c r="B98" s="1" t="s">
        <v>170</v>
      </c>
      <c r="C98" s="397">
        <v>0</v>
      </c>
    </row>
    <row r="99" spans="1:4">
      <c r="B99" s="1" t="s">
        <v>1059</v>
      </c>
    </row>
    <row r="102" spans="1:4">
      <c r="A102" s="575" t="s">
        <v>1111</v>
      </c>
      <c r="B102" s="635" t="s">
        <v>676</v>
      </c>
      <c r="C102" s="1141">
        <v>0</v>
      </c>
    </row>
    <row r="103" spans="1:4">
      <c r="B103" s="584" t="s">
        <v>83</v>
      </c>
      <c r="C103" s="1121">
        <v>0</v>
      </c>
    </row>
    <row r="105" spans="1:4" ht="29.1">
      <c r="A105" s="628" t="s">
        <v>1143</v>
      </c>
      <c r="B105" s="629" t="s">
        <v>1144</v>
      </c>
      <c r="C105" s="1132"/>
    </row>
    <row r="107" spans="1:4">
      <c r="A107" s="575" t="s">
        <v>1145</v>
      </c>
      <c r="B107" s="671" t="s">
        <v>218</v>
      </c>
      <c r="C107" s="1147">
        <v>0.46</v>
      </c>
    </row>
    <row r="108" spans="1:4">
      <c r="B108" s="359" t="s">
        <v>167</v>
      </c>
      <c r="C108" s="1144"/>
    </row>
    <row r="109" spans="1:4">
      <c r="B109" s="547" t="s">
        <v>1146</v>
      </c>
      <c r="C109" s="1138">
        <v>4.12</v>
      </c>
    </row>
    <row r="110" spans="1:4">
      <c r="B110" s="218"/>
    </row>
    <row r="111" spans="1:4">
      <c r="B111" s="607" t="s">
        <v>1147</v>
      </c>
      <c r="C111" s="1148">
        <v>2.4700000000000002</v>
      </c>
    </row>
    <row r="112" spans="1:4">
      <c r="B112" s="607" t="s">
        <v>1148</v>
      </c>
      <c r="C112" s="1148">
        <v>0.3</v>
      </c>
    </row>
    <row r="113" spans="1:8">
      <c r="B113" s="607" t="s">
        <v>1149</v>
      </c>
      <c r="C113" s="1148">
        <v>0.79</v>
      </c>
    </row>
    <row r="114" spans="1:8">
      <c r="B114" s="567" t="s">
        <v>1150</v>
      </c>
      <c r="C114" s="1148">
        <v>0.13</v>
      </c>
    </row>
    <row r="116" spans="1:8">
      <c r="B116" s="584" t="s">
        <v>1151</v>
      </c>
    </row>
    <row r="117" spans="1:8">
      <c r="B117" s="585" t="s">
        <v>232</v>
      </c>
      <c r="C117" s="1149">
        <f>SUM(C3:C116)</f>
        <v>83.59</v>
      </c>
    </row>
    <row r="118" spans="1:8">
      <c r="A118" s="610"/>
      <c r="B118" s="611"/>
      <c r="C118" s="1133"/>
    </row>
    <row r="119" spans="1:8" ht="36.75" customHeight="1">
      <c r="A119" s="628" t="s">
        <v>495</v>
      </c>
      <c r="B119" s="632" t="s">
        <v>496</v>
      </c>
      <c r="C119" s="1138">
        <v>0.2</v>
      </c>
      <c r="D119" s="1109" t="s">
        <v>906</v>
      </c>
      <c r="E119" s="628" t="s">
        <v>497</v>
      </c>
      <c r="F119" s="1110"/>
      <c r="G119" s="565" t="s">
        <v>1152</v>
      </c>
      <c r="H119" s="1119" t="s">
        <v>35</v>
      </c>
    </row>
    <row r="120" spans="1:8" ht="42">
      <c r="A120" s="628" t="s">
        <v>495</v>
      </c>
      <c r="B120" s="632" t="s">
        <v>500</v>
      </c>
      <c r="C120" s="1138">
        <v>0.3</v>
      </c>
      <c r="D120" s="1109" t="s">
        <v>1153</v>
      </c>
      <c r="E120" s="628" t="s">
        <v>501</v>
      </c>
      <c r="F120" s="1110"/>
      <c r="G120" s="565" t="s">
        <v>539</v>
      </c>
      <c r="H120" s="1119" t="s">
        <v>35</v>
      </c>
    </row>
    <row r="121" spans="1:8">
      <c r="A121" s="628" t="s">
        <v>487</v>
      </c>
      <c r="B121" s="635" t="s">
        <v>552</v>
      </c>
      <c r="C121" s="1141">
        <v>0.05</v>
      </c>
      <c r="D121" s="1113" t="s">
        <v>906</v>
      </c>
      <c r="E121" s="1114"/>
      <c r="F121" s="1115" t="s">
        <v>549</v>
      </c>
      <c r="G121" s="565"/>
      <c r="H121" s="1119"/>
    </row>
    <row r="122" spans="1:8">
      <c r="A122" s="628" t="s">
        <v>487</v>
      </c>
      <c r="B122" s="635" t="s">
        <v>564</v>
      </c>
      <c r="C122" s="1141">
        <v>0.05</v>
      </c>
      <c r="D122" s="1113" t="s">
        <v>906</v>
      </c>
      <c r="E122" s="1113"/>
      <c r="F122" s="1115" t="s">
        <v>549</v>
      </c>
      <c r="G122" s="565"/>
      <c r="H122" s="1119"/>
    </row>
    <row r="123" spans="1:8">
      <c r="A123" s="635" t="s">
        <v>487</v>
      </c>
      <c r="B123" s="635" t="s">
        <v>1154</v>
      </c>
      <c r="C123" s="1141">
        <v>0.05</v>
      </c>
      <c r="D123" s="1113" t="s">
        <v>794</v>
      </c>
      <c r="E123" s="1114"/>
      <c r="F123" s="635" t="s">
        <v>549</v>
      </c>
      <c r="G123" s="565"/>
      <c r="H123" s="1119"/>
    </row>
    <row r="124" spans="1:8">
      <c r="A124" s="612" t="s">
        <v>487</v>
      </c>
      <c r="B124" s="139" t="s">
        <v>1155</v>
      </c>
      <c r="C124" s="1150"/>
      <c r="D124" s="1116" t="s">
        <v>906</v>
      </c>
      <c r="E124" s="1117"/>
      <c r="F124" s="1118" t="s">
        <v>1156</v>
      </c>
    </row>
    <row r="125" spans="1:8">
      <c r="A125" s="575" t="s">
        <v>487</v>
      </c>
      <c r="B125" s="1" t="s">
        <v>1157</v>
      </c>
      <c r="C125" s="397"/>
      <c r="D125" s="1102" t="s">
        <v>906</v>
      </c>
      <c r="E125" s="379"/>
      <c r="F125" s="1103" t="s">
        <v>1156</v>
      </c>
    </row>
    <row r="126" spans="1:8">
      <c r="A126" s="575" t="s">
        <v>487</v>
      </c>
      <c r="B126" s="1" t="s">
        <v>367</v>
      </c>
      <c r="C126" s="397"/>
      <c r="D126" s="1102" t="s">
        <v>906</v>
      </c>
      <c r="E126" s="379"/>
      <c r="F126" s="1103" t="s">
        <v>1156</v>
      </c>
    </row>
    <row r="127" spans="1:8">
      <c r="A127" s="575" t="s">
        <v>487</v>
      </c>
      <c r="B127" s="1" t="s">
        <v>1158</v>
      </c>
      <c r="C127" s="397"/>
      <c r="D127" s="1102" t="s">
        <v>906</v>
      </c>
      <c r="E127" s="379"/>
      <c r="F127" s="1103" t="s">
        <v>1156</v>
      </c>
    </row>
    <row r="128" spans="1:8">
      <c r="A128" s="575" t="s">
        <v>487</v>
      </c>
      <c r="B128" s="1" t="s">
        <v>1159</v>
      </c>
      <c r="C128" s="397"/>
      <c r="D128" s="1102" t="s">
        <v>906</v>
      </c>
      <c r="E128" s="379"/>
      <c r="F128" s="1103" t="s">
        <v>1156</v>
      </c>
    </row>
    <row r="129" spans="1:6">
      <c r="A129" s="575" t="s">
        <v>487</v>
      </c>
      <c r="B129" s="1" t="s">
        <v>19</v>
      </c>
      <c r="C129" s="397"/>
      <c r="D129" s="1102" t="s">
        <v>906</v>
      </c>
      <c r="E129" s="379"/>
      <c r="F129" s="1103" t="s">
        <v>1156</v>
      </c>
    </row>
    <row r="130" spans="1:6">
      <c r="A130" s="575" t="s">
        <v>487</v>
      </c>
      <c r="B130" s="1" t="s">
        <v>25</v>
      </c>
      <c r="C130" s="397"/>
      <c r="D130" s="1102" t="s">
        <v>906</v>
      </c>
      <c r="E130" s="379"/>
      <c r="F130" s="1103" t="s">
        <v>1156</v>
      </c>
    </row>
    <row r="131" spans="1:6">
      <c r="A131" s="575" t="s">
        <v>487</v>
      </c>
      <c r="B131" s="1" t="s">
        <v>1160</v>
      </c>
      <c r="C131" s="397"/>
      <c r="D131" s="1102" t="s">
        <v>906</v>
      </c>
      <c r="E131" s="379"/>
      <c r="F131" s="1103" t="s">
        <v>1156</v>
      </c>
    </row>
    <row r="132" spans="1:6">
      <c r="A132" s="575" t="s">
        <v>487</v>
      </c>
      <c r="B132" s="1" t="s">
        <v>1161</v>
      </c>
      <c r="C132" s="397"/>
      <c r="D132" s="1102" t="s">
        <v>906</v>
      </c>
      <c r="E132" s="379"/>
      <c r="F132" s="1103" t="s">
        <v>1156</v>
      </c>
    </row>
    <row r="133" spans="1:6">
      <c r="A133" s="575" t="s">
        <v>487</v>
      </c>
      <c r="B133" s="1" t="s">
        <v>1162</v>
      </c>
      <c r="C133" s="397"/>
      <c r="D133" s="1102" t="s">
        <v>906</v>
      </c>
      <c r="E133" s="379"/>
      <c r="F133" s="1103" t="s">
        <v>1156</v>
      </c>
    </row>
    <row r="134" spans="1:6">
      <c r="A134" s="1" t="s">
        <v>487</v>
      </c>
      <c r="B134" s="1" t="s">
        <v>1163</v>
      </c>
      <c r="C134" s="397"/>
      <c r="D134" s="1102" t="s">
        <v>906</v>
      </c>
      <c r="E134" s="1102"/>
      <c r="F134" s="1103" t="s">
        <v>1156</v>
      </c>
    </row>
    <row r="135" spans="1:6">
      <c r="A135" s="1" t="s">
        <v>487</v>
      </c>
      <c r="B135" s="1" t="s">
        <v>948</v>
      </c>
      <c r="C135" s="397"/>
      <c r="D135" s="1102" t="s">
        <v>794</v>
      </c>
      <c r="E135" s="1079"/>
      <c r="F135" s="1103" t="s">
        <v>1156</v>
      </c>
    </row>
    <row r="136" spans="1:6">
      <c r="A136" s="1" t="s">
        <v>487</v>
      </c>
      <c r="B136" s="1" t="s">
        <v>1164</v>
      </c>
      <c r="C136" s="397"/>
      <c r="D136" s="1102" t="s">
        <v>794</v>
      </c>
      <c r="E136" s="379"/>
      <c r="F136" s="1" t="s">
        <v>1039</v>
      </c>
    </row>
    <row r="137" spans="1:6">
      <c r="A137" s="1" t="s">
        <v>487</v>
      </c>
      <c r="B137" s="1" t="s">
        <v>548</v>
      </c>
      <c r="C137" s="397"/>
      <c r="D137" s="1102" t="s">
        <v>794</v>
      </c>
      <c r="E137" s="379"/>
      <c r="F137" s="1" t="s">
        <v>1039</v>
      </c>
    </row>
    <row r="138" spans="1:6">
      <c r="A138" s="1" t="s">
        <v>487</v>
      </c>
      <c r="B138" s="1" t="s">
        <v>525</v>
      </c>
      <c r="C138" s="397"/>
      <c r="D138" s="1102" t="s">
        <v>794</v>
      </c>
      <c r="E138" s="379"/>
      <c r="F138" s="1" t="s">
        <v>1156</v>
      </c>
    </row>
    <row r="139" spans="1:6">
      <c r="A139" s="1" t="s">
        <v>487</v>
      </c>
      <c r="B139" s="1" t="s">
        <v>1165</v>
      </c>
      <c r="C139" s="397"/>
      <c r="D139" s="1102" t="s">
        <v>794</v>
      </c>
      <c r="E139" s="379"/>
      <c r="F139" s="1" t="s">
        <v>1039</v>
      </c>
    </row>
    <row r="140" spans="1:6">
      <c r="A140" s="1" t="s">
        <v>487</v>
      </c>
      <c r="B140" s="1" t="s">
        <v>1166</v>
      </c>
      <c r="C140" s="397"/>
      <c r="D140" s="1102" t="s">
        <v>794</v>
      </c>
      <c r="E140" s="379"/>
      <c r="F140" s="1" t="s">
        <v>1039</v>
      </c>
    </row>
    <row r="141" spans="1:6">
      <c r="A141" s="1" t="s">
        <v>487</v>
      </c>
      <c r="B141" s="1" t="s">
        <v>1167</v>
      </c>
      <c r="C141" s="397"/>
      <c r="D141" s="1102" t="s">
        <v>794</v>
      </c>
      <c r="E141" s="379"/>
      <c r="F141" s="1" t="s">
        <v>1039</v>
      </c>
    </row>
    <row r="142" spans="1:6">
      <c r="A142" s="1" t="s">
        <v>487</v>
      </c>
      <c r="B142" s="1" t="s">
        <v>515</v>
      </c>
      <c r="C142" s="397"/>
      <c r="D142" s="1102" t="s">
        <v>794</v>
      </c>
      <c r="E142" s="379"/>
      <c r="F142" s="1" t="s">
        <v>1156</v>
      </c>
    </row>
    <row r="143" spans="1:6">
      <c r="A143" s="1111" t="s">
        <v>495</v>
      </c>
      <c r="B143" s="1111" t="s">
        <v>1168</v>
      </c>
      <c r="C143" s="1151">
        <v>0.1</v>
      </c>
      <c r="D143" s="1112" t="s">
        <v>917</v>
      </c>
      <c r="E143" s="1112" t="s">
        <v>1169</v>
      </c>
      <c r="F143" s="1108"/>
    </row>
    <row r="144" spans="1:6">
      <c r="A144" s="1111" t="s">
        <v>495</v>
      </c>
      <c r="B144" s="1111" t="s">
        <v>1170</v>
      </c>
      <c r="C144" s="1151">
        <v>0.1</v>
      </c>
      <c r="D144" s="1112" t="s">
        <v>917</v>
      </c>
      <c r="E144" s="1112" t="s">
        <v>1169</v>
      </c>
      <c r="F144" s="1108"/>
    </row>
    <row r="145" spans="1:6" ht="21">
      <c r="A145" s="1106" t="s">
        <v>495</v>
      </c>
      <c r="B145" s="1106" t="s">
        <v>1171</v>
      </c>
      <c r="C145" s="1152">
        <v>0.15</v>
      </c>
      <c r="D145" s="1107" t="s">
        <v>1172</v>
      </c>
      <c r="E145" s="1107" t="s">
        <v>1173</v>
      </c>
      <c r="F145" s="1103"/>
    </row>
    <row r="146" spans="1:6" ht="21">
      <c r="A146" s="1106" t="s">
        <v>495</v>
      </c>
      <c r="B146" s="1106" t="s">
        <v>1174</v>
      </c>
      <c r="C146" s="1152">
        <v>0.15</v>
      </c>
      <c r="D146" s="1107" t="s">
        <v>1175</v>
      </c>
      <c r="E146" s="1107" t="s">
        <v>1176</v>
      </c>
      <c r="F146" s="1103"/>
    </row>
    <row r="147" spans="1:6" ht="43.5">
      <c r="A147" s="1104" t="s">
        <v>495</v>
      </c>
      <c r="B147" s="1105" t="s">
        <v>1177</v>
      </c>
      <c r="C147" s="1153"/>
      <c r="D147" s="1104" t="s">
        <v>1178</v>
      </c>
      <c r="E147" s="1104" t="s">
        <v>1179</v>
      </c>
    </row>
    <row r="148" spans="1:6" ht="29.1">
      <c r="A148" s="1104" t="s">
        <v>495</v>
      </c>
      <c r="B148" s="1105" t="s">
        <v>1180</v>
      </c>
      <c r="C148" s="1153"/>
      <c r="D148" s="1104" t="s">
        <v>1178</v>
      </c>
      <c r="E148" s="1104" t="s">
        <v>1169</v>
      </c>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7AFE50-777F-43D6-AB90-1DF557FD2219}">
  <dimension ref="B1:D253"/>
  <sheetViews>
    <sheetView zoomScale="200" zoomScaleNormal="200" workbookViewId="0">
      <selection activeCell="B11" sqref="B11"/>
    </sheetView>
  </sheetViews>
  <sheetFormatPr defaultRowHeight="14.45"/>
  <cols>
    <col min="2" max="2" width="26.7109375" style="379" customWidth="1"/>
    <col min="3" max="3" width="8.7109375" style="1"/>
    <col min="4" max="4" width="36" customWidth="1"/>
  </cols>
  <sheetData>
    <row r="1" spans="2:4" ht="14.85" customHeight="1">
      <c r="B1" s="583" t="s">
        <v>1181</v>
      </c>
      <c r="C1" s="18" t="s">
        <v>1182</v>
      </c>
      <c r="D1" s="1365" t="s">
        <v>1183</v>
      </c>
    </row>
    <row r="2" spans="2:4">
      <c r="B2" s="1366" t="s">
        <v>1184</v>
      </c>
      <c r="C2" s="1367">
        <v>1.4E-2</v>
      </c>
      <c r="D2" s="1364"/>
    </row>
    <row r="3" spans="2:4">
      <c r="B3" s="1366" t="s">
        <v>1185</v>
      </c>
      <c r="C3" s="1367">
        <v>1.29E-2</v>
      </c>
      <c r="D3" s="1364"/>
    </row>
    <row r="4" spans="2:4">
      <c r="B4" s="1368" t="s">
        <v>1186</v>
      </c>
      <c r="C4" s="1369">
        <v>1.2500000000000001E-2</v>
      </c>
      <c r="D4" s="1364"/>
    </row>
    <row r="5" spans="2:4">
      <c r="B5" s="1370" t="s">
        <v>1187</v>
      </c>
      <c r="C5" s="1371">
        <v>1.21E-2</v>
      </c>
      <c r="D5" s="1364"/>
    </row>
    <row r="6" spans="2:4">
      <c r="B6" s="1370" t="s">
        <v>1188</v>
      </c>
      <c r="C6" s="1371">
        <v>1.17E-2</v>
      </c>
      <c r="D6" s="1364"/>
    </row>
    <row r="7" spans="2:4">
      <c r="B7" s="1366" t="s">
        <v>1189</v>
      </c>
      <c r="C7" s="1367">
        <v>1.14E-2</v>
      </c>
      <c r="D7" s="1364"/>
    </row>
    <row r="8" spans="2:4">
      <c r="B8" s="1366" t="s">
        <v>1190</v>
      </c>
      <c r="C8" s="1367">
        <v>1.11E-2</v>
      </c>
      <c r="D8" s="1364"/>
    </row>
    <row r="9" spans="2:4" ht="20.100000000000001">
      <c r="B9" s="1366" t="s">
        <v>1191</v>
      </c>
      <c r="C9" s="1367">
        <v>1.04E-2</v>
      </c>
      <c r="D9" s="1364"/>
    </row>
    <row r="10" spans="2:4">
      <c r="B10" s="1366" t="s">
        <v>1192</v>
      </c>
      <c r="C10" s="1367">
        <v>1.04E-2</v>
      </c>
      <c r="D10" s="1364"/>
    </row>
    <row r="11" spans="2:4">
      <c r="B11" s="1368" t="s">
        <v>1193</v>
      </c>
      <c r="C11" s="1369">
        <v>1.04E-2</v>
      </c>
      <c r="D11" s="1364"/>
    </row>
    <row r="12" spans="2:4">
      <c r="B12" s="1368" t="s">
        <v>1194</v>
      </c>
      <c r="C12" s="1369">
        <v>1.0200000000000001E-2</v>
      </c>
      <c r="D12" s="1364"/>
    </row>
    <row r="13" spans="2:4">
      <c r="B13" s="1366" t="s">
        <v>1195</v>
      </c>
      <c r="C13" s="1367">
        <v>0.01</v>
      </c>
      <c r="D13" s="1364"/>
    </row>
    <row r="14" spans="2:4">
      <c r="B14" s="1366" t="s">
        <v>1196</v>
      </c>
      <c r="C14" s="1366" t="s">
        <v>1197</v>
      </c>
      <c r="D14" s="1364"/>
    </row>
    <row r="15" spans="2:4">
      <c r="B15" s="1366" t="s">
        <v>1198</v>
      </c>
      <c r="C15" s="1366" t="s">
        <v>1197</v>
      </c>
      <c r="D15" s="1364"/>
    </row>
    <row r="16" spans="2:4" ht="20.100000000000001">
      <c r="B16" s="1368" t="s">
        <v>1199</v>
      </c>
      <c r="C16" s="1368" t="s">
        <v>1197</v>
      </c>
      <c r="D16" s="1364"/>
    </row>
    <row r="17" spans="2:4">
      <c r="B17" s="1366" t="s">
        <v>1200</v>
      </c>
      <c r="C17" s="1366" t="s">
        <v>1197</v>
      </c>
      <c r="D17" s="1364"/>
    </row>
    <row r="18" spans="2:4">
      <c r="B18" s="1366" t="s">
        <v>1201</v>
      </c>
      <c r="C18" s="1366" t="s">
        <v>1197</v>
      </c>
      <c r="D18" s="1364"/>
    </row>
    <row r="19" spans="2:4">
      <c r="B19" s="1366" t="s">
        <v>1202</v>
      </c>
      <c r="C19" s="1366" t="s">
        <v>1197</v>
      </c>
      <c r="D19" s="1364"/>
    </row>
    <row r="20" spans="2:4">
      <c r="B20" s="1366" t="s">
        <v>1203</v>
      </c>
      <c r="C20" s="1366" t="s">
        <v>1197</v>
      </c>
      <c r="D20" s="1364"/>
    </row>
    <row r="21" spans="2:4">
      <c r="B21" s="1368" t="s">
        <v>1204</v>
      </c>
      <c r="C21" s="1368" t="s">
        <v>1197</v>
      </c>
      <c r="D21" s="1364"/>
    </row>
    <row r="22" spans="2:4">
      <c r="B22" s="1366" t="s">
        <v>1205</v>
      </c>
      <c r="C22" s="1366" t="s">
        <v>1197</v>
      </c>
      <c r="D22" s="1364"/>
    </row>
    <row r="23" spans="2:4">
      <c r="B23" s="1366" t="s">
        <v>1206</v>
      </c>
      <c r="C23" s="1366" t="s">
        <v>1197</v>
      </c>
      <c r="D23" s="1364"/>
    </row>
    <row r="24" spans="2:4">
      <c r="B24" s="1368" t="s">
        <v>1207</v>
      </c>
      <c r="C24" s="1368" t="s">
        <v>1197</v>
      </c>
      <c r="D24" s="1364"/>
    </row>
    <row r="25" spans="2:4">
      <c r="B25" s="1366" t="s">
        <v>1208</v>
      </c>
      <c r="C25" s="1366" t="s">
        <v>1197</v>
      </c>
      <c r="D25" s="1364"/>
    </row>
    <row r="26" spans="2:4">
      <c r="B26" s="1366" t="s">
        <v>1209</v>
      </c>
      <c r="C26" s="1366" t="s">
        <v>1197</v>
      </c>
      <c r="D26" s="1364"/>
    </row>
    <row r="27" spans="2:4">
      <c r="B27" s="1366" t="s">
        <v>1210</v>
      </c>
      <c r="C27" s="1366" t="s">
        <v>1197</v>
      </c>
      <c r="D27" s="1364"/>
    </row>
    <row r="28" spans="2:4">
      <c r="B28" s="1366" t="s">
        <v>1211</v>
      </c>
      <c r="C28" s="1366" t="s">
        <v>1197</v>
      </c>
      <c r="D28" s="1364"/>
    </row>
    <row r="29" spans="2:4">
      <c r="B29" s="1366" t="s">
        <v>1212</v>
      </c>
      <c r="C29" s="1366" t="s">
        <v>1197</v>
      </c>
      <c r="D29" s="1364"/>
    </row>
    <row r="30" spans="2:4">
      <c r="B30" s="1366" t="s">
        <v>1213</v>
      </c>
      <c r="C30" s="1366" t="s">
        <v>1197</v>
      </c>
      <c r="D30" s="1364"/>
    </row>
    <row r="31" spans="2:4">
      <c r="B31" s="1366" t="s">
        <v>1214</v>
      </c>
      <c r="C31" s="1366" t="s">
        <v>1197</v>
      </c>
      <c r="D31" s="1364"/>
    </row>
    <row r="32" spans="2:4">
      <c r="B32" s="1366" t="s">
        <v>1215</v>
      </c>
      <c r="C32" s="1366" t="s">
        <v>1197</v>
      </c>
      <c r="D32" s="1364"/>
    </row>
    <row r="33" spans="2:4">
      <c r="B33" s="1366" t="s">
        <v>1216</v>
      </c>
      <c r="C33" s="1366" t="s">
        <v>1197</v>
      </c>
      <c r="D33" s="1364"/>
    </row>
    <row r="34" spans="2:4">
      <c r="B34" s="1368" t="s">
        <v>1217</v>
      </c>
      <c r="C34" s="1368" t="s">
        <v>1197</v>
      </c>
      <c r="D34" s="1364"/>
    </row>
    <row r="35" spans="2:4">
      <c r="B35" s="1366" t="s">
        <v>1218</v>
      </c>
      <c r="C35" s="1366" t="s">
        <v>1197</v>
      </c>
      <c r="D35" s="1364"/>
    </row>
    <row r="36" spans="2:4">
      <c r="B36" s="1366" t="s">
        <v>1219</v>
      </c>
      <c r="C36" s="1366" t="s">
        <v>1197</v>
      </c>
      <c r="D36" s="1364"/>
    </row>
    <row r="37" spans="2:4">
      <c r="B37" s="1366" t="s">
        <v>1220</v>
      </c>
      <c r="C37" s="1366" t="s">
        <v>1197</v>
      </c>
      <c r="D37" s="1364"/>
    </row>
    <row r="38" spans="2:4">
      <c r="B38" s="1366" t="s">
        <v>1221</v>
      </c>
      <c r="C38" s="1366" t="s">
        <v>1197</v>
      </c>
      <c r="D38" s="1364"/>
    </row>
    <row r="39" spans="2:4">
      <c r="B39" s="1366" t="s">
        <v>1222</v>
      </c>
      <c r="C39" s="1366" t="s">
        <v>1197</v>
      </c>
      <c r="D39" s="1364"/>
    </row>
    <row r="40" spans="2:4">
      <c r="B40" s="1366" t="s">
        <v>1223</v>
      </c>
      <c r="C40" s="1366" t="s">
        <v>1197</v>
      </c>
      <c r="D40" s="1364"/>
    </row>
    <row r="41" spans="2:4">
      <c r="B41" s="1366" t="s">
        <v>1224</v>
      </c>
      <c r="C41" s="1366" t="s">
        <v>1197</v>
      </c>
      <c r="D41" s="1364"/>
    </row>
    <row r="42" spans="2:4">
      <c r="B42" s="1368" t="s">
        <v>1225</v>
      </c>
      <c r="C42" s="1368" t="s">
        <v>1197</v>
      </c>
      <c r="D42" s="1364"/>
    </row>
    <row r="43" spans="2:4">
      <c r="B43" s="1366" t="s">
        <v>1226</v>
      </c>
      <c r="C43" s="1366" t="s">
        <v>1197</v>
      </c>
      <c r="D43" s="1364"/>
    </row>
    <row r="44" spans="2:4">
      <c r="B44" s="1366" t="s">
        <v>1227</v>
      </c>
      <c r="C44" s="1366" t="s">
        <v>1197</v>
      </c>
      <c r="D44" s="1364"/>
    </row>
    <row r="45" spans="2:4">
      <c r="B45" s="1366" t="s">
        <v>1228</v>
      </c>
      <c r="C45" s="1366" t="s">
        <v>1197</v>
      </c>
      <c r="D45" s="1364"/>
    </row>
    <row r="46" spans="2:4">
      <c r="B46" s="1366" t="s">
        <v>1229</v>
      </c>
      <c r="C46" s="1366" t="s">
        <v>1197</v>
      </c>
      <c r="D46" s="1364"/>
    </row>
    <row r="47" spans="2:4">
      <c r="B47" s="1366" t="s">
        <v>1230</v>
      </c>
      <c r="C47" s="1366" t="s">
        <v>1197</v>
      </c>
      <c r="D47" s="1364"/>
    </row>
    <row r="48" spans="2:4">
      <c r="B48" s="1366" t="s">
        <v>1231</v>
      </c>
      <c r="C48" s="1366" t="s">
        <v>1197</v>
      </c>
      <c r="D48" s="1364"/>
    </row>
    <row r="49" spans="2:4">
      <c r="B49" s="1366" t="s">
        <v>1232</v>
      </c>
      <c r="C49" s="1366" t="s">
        <v>1197</v>
      </c>
      <c r="D49" s="1364"/>
    </row>
    <row r="50" spans="2:4">
      <c r="B50" s="1366" t="s">
        <v>1233</v>
      </c>
      <c r="C50" s="1366" t="s">
        <v>1197</v>
      </c>
      <c r="D50" s="1364"/>
    </row>
    <row r="51" spans="2:4">
      <c r="B51" s="1366" t="s">
        <v>1234</v>
      </c>
      <c r="C51" s="1366" t="s">
        <v>1197</v>
      </c>
      <c r="D51" s="1364"/>
    </row>
    <row r="52" spans="2:4">
      <c r="B52" s="1368" t="s">
        <v>1235</v>
      </c>
      <c r="C52" s="1368" t="s">
        <v>1197</v>
      </c>
      <c r="D52" s="1364"/>
    </row>
    <row r="53" spans="2:4">
      <c r="B53" s="1366" t="s">
        <v>1236</v>
      </c>
      <c r="C53" s="1366" t="s">
        <v>1197</v>
      </c>
      <c r="D53" s="1364"/>
    </row>
    <row r="54" spans="2:4">
      <c r="B54" s="1366" t="s">
        <v>1237</v>
      </c>
      <c r="C54" s="1366" t="s">
        <v>1197</v>
      </c>
      <c r="D54" s="1364"/>
    </row>
    <row r="55" spans="2:4">
      <c r="B55" s="1366" t="s">
        <v>1238</v>
      </c>
      <c r="C55" s="1366" t="s">
        <v>1197</v>
      </c>
      <c r="D55" s="1364"/>
    </row>
    <row r="56" spans="2:4">
      <c r="B56" s="1366" t="s">
        <v>1239</v>
      </c>
      <c r="C56" s="1366" t="s">
        <v>1197</v>
      </c>
      <c r="D56" s="1364"/>
    </row>
    <row r="57" spans="2:4">
      <c r="B57" s="1366" t="s">
        <v>1240</v>
      </c>
      <c r="C57" s="1366" t="s">
        <v>1197</v>
      </c>
      <c r="D57" s="1364"/>
    </row>
    <row r="58" spans="2:4">
      <c r="B58" s="1366" t="s">
        <v>1241</v>
      </c>
      <c r="C58" s="1366" t="s">
        <v>1197</v>
      </c>
      <c r="D58" s="1364"/>
    </row>
    <row r="59" spans="2:4">
      <c r="B59" s="1366" t="s">
        <v>1242</v>
      </c>
      <c r="C59" s="1366" t="s">
        <v>1197</v>
      </c>
      <c r="D59" s="1364"/>
    </row>
    <row r="60" spans="2:4">
      <c r="B60" s="1366" t="s">
        <v>1243</v>
      </c>
      <c r="C60" s="1366" t="s">
        <v>1197</v>
      </c>
      <c r="D60" s="1364"/>
    </row>
    <row r="61" spans="2:4">
      <c r="B61" s="1366" t="s">
        <v>1244</v>
      </c>
      <c r="C61" s="1366" t="s">
        <v>1197</v>
      </c>
      <c r="D61" s="1364"/>
    </row>
    <row r="62" spans="2:4">
      <c r="B62" s="1366" t="s">
        <v>1245</v>
      </c>
      <c r="C62" s="1366" t="s">
        <v>1197</v>
      </c>
      <c r="D62" s="1364"/>
    </row>
    <row r="63" spans="2:4">
      <c r="B63" s="1366" t="s">
        <v>1246</v>
      </c>
      <c r="C63" s="1366" t="s">
        <v>1197</v>
      </c>
      <c r="D63" s="1364"/>
    </row>
    <row r="64" spans="2:4">
      <c r="B64" s="1366" t="s">
        <v>1247</v>
      </c>
      <c r="C64" s="1366" t="s">
        <v>1197</v>
      </c>
      <c r="D64" s="1364"/>
    </row>
    <row r="65" spans="2:4">
      <c r="B65" s="1366" t="s">
        <v>1248</v>
      </c>
      <c r="C65" s="1366" t="s">
        <v>1197</v>
      </c>
      <c r="D65" s="1364"/>
    </row>
    <row r="66" spans="2:4">
      <c r="B66" s="1366" t="s">
        <v>1249</v>
      </c>
      <c r="C66" s="1366" t="s">
        <v>1197</v>
      </c>
      <c r="D66" s="1364"/>
    </row>
    <row r="67" spans="2:4">
      <c r="B67" s="1366" t="s">
        <v>1250</v>
      </c>
      <c r="C67" s="1366" t="s">
        <v>1197</v>
      </c>
      <c r="D67" s="1364"/>
    </row>
    <row r="68" spans="2:4">
      <c r="B68" s="1366" t="s">
        <v>1251</v>
      </c>
      <c r="C68" s="1366" t="s">
        <v>1197</v>
      </c>
      <c r="D68" s="1364"/>
    </row>
    <row r="69" spans="2:4">
      <c r="B69" s="1366" t="s">
        <v>1252</v>
      </c>
      <c r="C69" s="1366" t="s">
        <v>1197</v>
      </c>
      <c r="D69" s="1364"/>
    </row>
    <row r="70" spans="2:4">
      <c r="B70" s="1366" t="s">
        <v>1253</v>
      </c>
      <c r="C70" s="1366" t="s">
        <v>1197</v>
      </c>
      <c r="D70" s="1364"/>
    </row>
    <row r="71" spans="2:4">
      <c r="B71" s="1366" t="s">
        <v>1254</v>
      </c>
      <c r="C71" s="1366" t="s">
        <v>1197</v>
      </c>
      <c r="D71" s="1364"/>
    </row>
    <row r="72" spans="2:4">
      <c r="B72" s="1366" t="s">
        <v>1255</v>
      </c>
      <c r="C72" s="1366" t="s">
        <v>1197</v>
      </c>
      <c r="D72" s="1364"/>
    </row>
    <row r="73" spans="2:4">
      <c r="B73" s="1366" t="s">
        <v>1256</v>
      </c>
      <c r="C73" s="1366" t="s">
        <v>1197</v>
      </c>
      <c r="D73" s="1364"/>
    </row>
    <row r="74" spans="2:4">
      <c r="B74" s="1366" t="s">
        <v>1257</v>
      </c>
      <c r="C74" s="1366" t="s">
        <v>1197</v>
      </c>
      <c r="D74" s="1364"/>
    </row>
    <row r="75" spans="2:4">
      <c r="B75" s="1366" t="s">
        <v>1258</v>
      </c>
      <c r="C75" s="1366" t="s">
        <v>1197</v>
      </c>
      <c r="D75" s="1364"/>
    </row>
    <row r="76" spans="2:4">
      <c r="B76" s="1366" t="s">
        <v>1259</v>
      </c>
      <c r="C76" s="1366" t="s">
        <v>1197</v>
      </c>
      <c r="D76" s="1364"/>
    </row>
    <row r="77" spans="2:4">
      <c r="B77" s="1366" t="s">
        <v>1260</v>
      </c>
      <c r="C77" s="1366" t="s">
        <v>1197</v>
      </c>
      <c r="D77" s="1364"/>
    </row>
    <row r="78" spans="2:4">
      <c r="B78" s="1368" t="s">
        <v>1261</v>
      </c>
      <c r="C78" s="1368" t="s">
        <v>1197</v>
      </c>
      <c r="D78" s="1364"/>
    </row>
    <row r="79" spans="2:4">
      <c r="B79" s="1366" t="s">
        <v>1262</v>
      </c>
      <c r="C79" s="1366" t="s">
        <v>1197</v>
      </c>
      <c r="D79" s="1364"/>
    </row>
    <row r="80" spans="2:4">
      <c r="B80" s="1366" t="s">
        <v>1263</v>
      </c>
      <c r="C80" s="1366" t="s">
        <v>1197</v>
      </c>
      <c r="D80" s="1364"/>
    </row>
    <row r="81" spans="2:4">
      <c r="B81" s="1366" t="s">
        <v>1264</v>
      </c>
      <c r="C81" s="1366" t="s">
        <v>1197</v>
      </c>
      <c r="D81" s="1364"/>
    </row>
    <row r="82" spans="2:4">
      <c r="B82" s="1366" t="s">
        <v>1265</v>
      </c>
      <c r="C82" s="1366" t="s">
        <v>1197</v>
      </c>
      <c r="D82" s="1364"/>
    </row>
    <row r="83" spans="2:4">
      <c r="B83" s="1366" t="s">
        <v>1266</v>
      </c>
      <c r="C83" s="1366" t="s">
        <v>1197</v>
      </c>
      <c r="D83" s="1364"/>
    </row>
    <row r="84" spans="2:4">
      <c r="B84" s="1366" t="s">
        <v>1267</v>
      </c>
      <c r="C84" s="1366" t="s">
        <v>1197</v>
      </c>
      <c r="D84" s="1364"/>
    </row>
    <row r="85" spans="2:4">
      <c r="B85" s="1366" t="s">
        <v>1268</v>
      </c>
      <c r="C85" s="1366" t="s">
        <v>1197</v>
      </c>
      <c r="D85" s="1364"/>
    </row>
    <row r="86" spans="2:4">
      <c r="B86" s="1366" t="s">
        <v>1269</v>
      </c>
      <c r="C86" s="1366" t="s">
        <v>1197</v>
      </c>
      <c r="D86" s="1364"/>
    </row>
    <row r="87" spans="2:4">
      <c r="B87" s="1366" t="s">
        <v>1270</v>
      </c>
      <c r="C87" s="1366" t="s">
        <v>1197</v>
      </c>
      <c r="D87" s="1364"/>
    </row>
    <row r="88" spans="2:4">
      <c r="B88" s="1366" t="s">
        <v>1271</v>
      </c>
      <c r="C88" s="1366" t="s">
        <v>1197</v>
      </c>
      <c r="D88" s="1364"/>
    </row>
    <row r="89" spans="2:4">
      <c r="B89" s="1366" t="s">
        <v>1272</v>
      </c>
      <c r="C89" s="1366" t="s">
        <v>1197</v>
      </c>
      <c r="D89" s="1364"/>
    </row>
    <row r="90" spans="2:4">
      <c r="B90" s="1366" t="s">
        <v>1273</v>
      </c>
      <c r="C90" s="1366" t="s">
        <v>1197</v>
      </c>
      <c r="D90" s="1364"/>
    </row>
    <row r="91" spans="2:4">
      <c r="B91" s="1366" t="s">
        <v>1274</v>
      </c>
      <c r="C91" s="1366" t="s">
        <v>1197</v>
      </c>
      <c r="D91" s="1364"/>
    </row>
    <row r="92" spans="2:4">
      <c r="B92" s="1366" t="s">
        <v>1275</v>
      </c>
      <c r="C92" s="1366" t="s">
        <v>1197</v>
      </c>
      <c r="D92" s="1364"/>
    </row>
    <row r="93" spans="2:4">
      <c r="B93" s="1366" t="s">
        <v>1276</v>
      </c>
      <c r="C93" s="1366" t="s">
        <v>1197</v>
      </c>
      <c r="D93" s="1364"/>
    </row>
    <row r="94" spans="2:4">
      <c r="B94" s="1366" t="s">
        <v>1277</v>
      </c>
      <c r="C94" s="1366" t="s">
        <v>1197</v>
      </c>
      <c r="D94" s="1364"/>
    </row>
    <row r="95" spans="2:4">
      <c r="B95" s="1366" t="s">
        <v>1278</v>
      </c>
      <c r="C95" s="1366" t="s">
        <v>1197</v>
      </c>
      <c r="D95" s="1364"/>
    </row>
    <row r="96" spans="2:4">
      <c r="B96" s="1366" t="s">
        <v>1279</v>
      </c>
      <c r="C96" s="1366" t="s">
        <v>1197</v>
      </c>
      <c r="D96" s="1364"/>
    </row>
    <row r="97" spans="2:4">
      <c r="B97" s="1368" t="s">
        <v>1280</v>
      </c>
      <c r="C97" s="1368" t="s">
        <v>1197</v>
      </c>
      <c r="D97" s="1364"/>
    </row>
    <row r="98" spans="2:4">
      <c r="B98" s="1366" t="s">
        <v>1281</v>
      </c>
      <c r="C98" s="1366" t="s">
        <v>1197</v>
      </c>
      <c r="D98" s="1364"/>
    </row>
    <row r="99" spans="2:4">
      <c r="B99" s="1366" t="s">
        <v>1282</v>
      </c>
      <c r="C99" s="1366" t="s">
        <v>1197</v>
      </c>
      <c r="D99" s="1364"/>
    </row>
    <row r="100" spans="2:4">
      <c r="B100" s="1366" t="s">
        <v>1283</v>
      </c>
      <c r="C100" s="1366" t="s">
        <v>1197</v>
      </c>
      <c r="D100" s="1364"/>
    </row>
    <row r="101" spans="2:4">
      <c r="B101" s="1366" t="s">
        <v>1284</v>
      </c>
      <c r="C101" s="1366" t="s">
        <v>1197</v>
      </c>
      <c r="D101" s="1364"/>
    </row>
    <row r="102" spans="2:4">
      <c r="B102" s="1366" t="s">
        <v>1285</v>
      </c>
      <c r="C102" s="1366" t="s">
        <v>1197</v>
      </c>
      <c r="D102" s="1364"/>
    </row>
    <row r="103" spans="2:4">
      <c r="B103" s="1366" t="s">
        <v>1286</v>
      </c>
      <c r="C103" s="1366" t="s">
        <v>1197</v>
      </c>
      <c r="D103" s="1364"/>
    </row>
    <row r="104" spans="2:4">
      <c r="B104" s="1366" t="s">
        <v>1287</v>
      </c>
      <c r="C104" s="1366" t="s">
        <v>1197</v>
      </c>
      <c r="D104" s="1364"/>
    </row>
    <row r="105" spans="2:4">
      <c r="B105" s="1366" t="s">
        <v>1288</v>
      </c>
      <c r="C105" s="1366" t="s">
        <v>1197</v>
      </c>
      <c r="D105" s="1364"/>
    </row>
    <row r="106" spans="2:4">
      <c r="B106" s="1366" t="s">
        <v>1289</v>
      </c>
      <c r="C106" s="1366" t="s">
        <v>1197</v>
      </c>
      <c r="D106" s="1364"/>
    </row>
    <row r="107" spans="2:4" ht="20.100000000000001">
      <c r="B107" s="1366" t="s">
        <v>1290</v>
      </c>
      <c r="C107" s="1366" t="s">
        <v>1197</v>
      </c>
      <c r="D107" s="1364"/>
    </row>
    <row r="108" spans="2:4">
      <c r="B108" s="1366" t="s">
        <v>1291</v>
      </c>
      <c r="C108" s="1366" t="s">
        <v>1197</v>
      </c>
      <c r="D108" s="1364"/>
    </row>
    <row r="109" spans="2:4">
      <c r="B109" s="1366" t="s">
        <v>1292</v>
      </c>
      <c r="C109" s="1366" t="s">
        <v>1197</v>
      </c>
      <c r="D109" s="1364"/>
    </row>
    <row r="110" spans="2:4">
      <c r="B110" s="1366" t="s">
        <v>1293</v>
      </c>
      <c r="C110" s="1366" t="s">
        <v>1197</v>
      </c>
      <c r="D110" s="1364"/>
    </row>
    <row r="111" spans="2:4">
      <c r="B111" s="1366" t="s">
        <v>1294</v>
      </c>
      <c r="C111" s="1366" t="s">
        <v>1197</v>
      </c>
      <c r="D111" s="1364"/>
    </row>
    <row r="112" spans="2:4">
      <c r="B112" s="1366" t="s">
        <v>1295</v>
      </c>
      <c r="C112" s="1366" t="s">
        <v>1197</v>
      </c>
      <c r="D112" s="1364"/>
    </row>
    <row r="113" spans="2:4">
      <c r="B113" s="1366" t="s">
        <v>1296</v>
      </c>
      <c r="C113" s="1366" t="s">
        <v>1197</v>
      </c>
      <c r="D113" s="1364"/>
    </row>
    <row r="114" spans="2:4">
      <c r="B114" s="1366" t="s">
        <v>1297</v>
      </c>
      <c r="C114" s="1366" t="s">
        <v>1197</v>
      </c>
      <c r="D114" s="1364"/>
    </row>
    <row r="115" spans="2:4">
      <c r="B115" s="1366" t="s">
        <v>1298</v>
      </c>
      <c r="C115" s="1366" t="s">
        <v>1197</v>
      </c>
      <c r="D115" s="1364"/>
    </row>
    <row r="116" spans="2:4">
      <c r="B116" s="1366" t="s">
        <v>1299</v>
      </c>
      <c r="C116" s="1366" t="s">
        <v>1197</v>
      </c>
      <c r="D116" s="1364"/>
    </row>
    <row r="117" spans="2:4">
      <c r="B117" s="1366" t="s">
        <v>1300</v>
      </c>
      <c r="C117" s="1366" t="s">
        <v>1197</v>
      </c>
      <c r="D117" s="1364"/>
    </row>
    <row r="118" spans="2:4">
      <c r="B118" s="1366" t="s">
        <v>1301</v>
      </c>
      <c r="C118" s="1366" t="s">
        <v>1197</v>
      </c>
      <c r="D118" s="1364"/>
    </row>
    <row r="119" spans="2:4">
      <c r="B119" s="1366" t="s">
        <v>1302</v>
      </c>
      <c r="C119" s="1366" t="s">
        <v>1197</v>
      </c>
      <c r="D119" s="1364"/>
    </row>
    <row r="120" spans="2:4">
      <c r="B120" s="1366" t="s">
        <v>1303</v>
      </c>
      <c r="C120" s="1366" t="s">
        <v>1197</v>
      </c>
      <c r="D120" s="1364"/>
    </row>
    <row r="121" spans="2:4" ht="20.100000000000001">
      <c r="B121" s="1366" t="s">
        <v>1304</v>
      </c>
      <c r="C121" s="1366" t="s">
        <v>1197</v>
      </c>
      <c r="D121" s="1364"/>
    </row>
    <row r="122" spans="2:4">
      <c r="B122" s="1366" t="s">
        <v>1305</v>
      </c>
      <c r="C122" s="1366" t="s">
        <v>1197</v>
      </c>
      <c r="D122" s="1364"/>
    </row>
    <row r="123" spans="2:4">
      <c r="B123" s="1366" t="s">
        <v>1306</v>
      </c>
      <c r="C123" s="1366" t="s">
        <v>1197</v>
      </c>
      <c r="D123" s="1364"/>
    </row>
    <row r="124" spans="2:4">
      <c r="B124" s="1366" t="s">
        <v>1307</v>
      </c>
      <c r="C124" s="1366" t="s">
        <v>1197</v>
      </c>
      <c r="D124" s="1364"/>
    </row>
    <row r="125" spans="2:4">
      <c r="B125" s="1366" t="s">
        <v>1308</v>
      </c>
      <c r="C125" s="1366" t="s">
        <v>1197</v>
      </c>
      <c r="D125" s="1364"/>
    </row>
    <row r="126" spans="2:4">
      <c r="B126" s="1366" t="s">
        <v>1309</v>
      </c>
      <c r="C126" s="1366" t="s">
        <v>1197</v>
      </c>
      <c r="D126" s="1364"/>
    </row>
    <row r="127" spans="2:4">
      <c r="B127" s="1366" t="s">
        <v>1310</v>
      </c>
      <c r="C127" s="1366" t="s">
        <v>1197</v>
      </c>
      <c r="D127" s="1364"/>
    </row>
    <row r="128" spans="2:4">
      <c r="B128" s="1366" t="s">
        <v>1311</v>
      </c>
      <c r="C128" s="1366" t="s">
        <v>1197</v>
      </c>
      <c r="D128" s="1364"/>
    </row>
    <row r="129" spans="2:4">
      <c r="B129" s="1366" t="s">
        <v>1312</v>
      </c>
      <c r="C129" s="1366" t="s">
        <v>1197</v>
      </c>
      <c r="D129" s="1364"/>
    </row>
    <row r="130" spans="2:4">
      <c r="B130" s="1368" t="s">
        <v>1313</v>
      </c>
      <c r="C130" s="1368" t="s">
        <v>1197</v>
      </c>
      <c r="D130" s="1364"/>
    </row>
    <row r="131" spans="2:4">
      <c r="B131" s="1366" t="s">
        <v>1314</v>
      </c>
      <c r="C131" s="1366" t="s">
        <v>1197</v>
      </c>
      <c r="D131" s="1364"/>
    </row>
    <row r="132" spans="2:4">
      <c r="B132" s="1366" t="s">
        <v>1315</v>
      </c>
      <c r="C132" s="1366" t="s">
        <v>1197</v>
      </c>
      <c r="D132" s="1364"/>
    </row>
    <row r="133" spans="2:4">
      <c r="B133" s="1366" t="s">
        <v>1316</v>
      </c>
      <c r="C133" s="1366" t="s">
        <v>1197</v>
      </c>
      <c r="D133" s="1364"/>
    </row>
    <row r="134" spans="2:4" ht="20.100000000000001">
      <c r="B134" s="1366" t="s">
        <v>1317</v>
      </c>
      <c r="C134" s="1366" t="s">
        <v>1197</v>
      </c>
      <c r="D134" s="1364"/>
    </row>
    <row r="135" spans="2:4">
      <c r="B135" s="1368" t="s">
        <v>1318</v>
      </c>
      <c r="C135" s="1368" t="s">
        <v>1197</v>
      </c>
      <c r="D135" s="1364"/>
    </row>
    <row r="136" spans="2:4">
      <c r="B136" s="1366" t="s">
        <v>1319</v>
      </c>
      <c r="C136" s="1366" t="s">
        <v>1197</v>
      </c>
      <c r="D136" s="1364"/>
    </row>
    <row r="137" spans="2:4" ht="20.100000000000001">
      <c r="B137" s="1366" t="s">
        <v>1320</v>
      </c>
      <c r="C137" s="1366" t="s">
        <v>1197</v>
      </c>
      <c r="D137" s="1364"/>
    </row>
    <row r="138" spans="2:4">
      <c r="B138" s="1366" t="s">
        <v>1321</v>
      </c>
      <c r="C138" s="1366" t="s">
        <v>1197</v>
      </c>
      <c r="D138" s="1364"/>
    </row>
    <row r="139" spans="2:4">
      <c r="B139" s="1366" t="s">
        <v>1322</v>
      </c>
      <c r="C139" s="1366" t="s">
        <v>1197</v>
      </c>
      <c r="D139" s="1364"/>
    </row>
    <row r="140" spans="2:4">
      <c r="B140" s="1366" t="s">
        <v>1323</v>
      </c>
      <c r="C140" s="1366" t="s">
        <v>1197</v>
      </c>
      <c r="D140" s="1364"/>
    </row>
    <row r="141" spans="2:4">
      <c r="B141" s="1366" t="s">
        <v>1324</v>
      </c>
      <c r="C141" s="1366" t="s">
        <v>1197</v>
      </c>
      <c r="D141" s="1364"/>
    </row>
    <row r="142" spans="2:4">
      <c r="B142" s="1366" t="s">
        <v>1325</v>
      </c>
      <c r="C142" s="1366" t="s">
        <v>1197</v>
      </c>
      <c r="D142" s="1364"/>
    </row>
    <row r="143" spans="2:4">
      <c r="B143" s="1366" t="s">
        <v>1326</v>
      </c>
      <c r="C143" s="1366" t="s">
        <v>1197</v>
      </c>
      <c r="D143" s="1364"/>
    </row>
    <row r="144" spans="2:4">
      <c r="B144" s="1366" t="s">
        <v>1327</v>
      </c>
      <c r="C144" s="1366" t="s">
        <v>1197</v>
      </c>
      <c r="D144" s="1364"/>
    </row>
    <row r="145" spans="2:4">
      <c r="B145" s="1366" t="s">
        <v>1328</v>
      </c>
      <c r="C145" s="1366" t="s">
        <v>1197</v>
      </c>
      <c r="D145" s="1364"/>
    </row>
    <row r="146" spans="2:4">
      <c r="B146" s="1366" t="s">
        <v>1329</v>
      </c>
      <c r="C146" s="1366" t="s">
        <v>1197</v>
      </c>
      <c r="D146" s="1364"/>
    </row>
    <row r="147" spans="2:4">
      <c r="B147" s="1366" t="s">
        <v>1330</v>
      </c>
      <c r="C147" s="1366" t="s">
        <v>1197</v>
      </c>
      <c r="D147" s="1364"/>
    </row>
    <row r="148" spans="2:4">
      <c r="B148" s="1366" t="s">
        <v>1331</v>
      </c>
      <c r="C148" s="1366" t="s">
        <v>1197</v>
      </c>
      <c r="D148" s="1364"/>
    </row>
    <row r="149" spans="2:4">
      <c r="B149" s="1366" t="s">
        <v>1332</v>
      </c>
      <c r="C149" s="1366" t="s">
        <v>1197</v>
      </c>
      <c r="D149" s="1364"/>
    </row>
    <row r="150" spans="2:4">
      <c r="B150" s="1366" t="s">
        <v>1333</v>
      </c>
      <c r="C150" s="1366" t="s">
        <v>1197</v>
      </c>
      <c r="D150" s="1364"/>
    </row>
    <row r="151" spans="2:4" ht="20.100000000000001">
      <c r="B151" s="1366" t="s">
        <v>1334</v>
      </c>
      <c r="C151" s="1366" t="s">
        <v>1197</v>
      </c>
      <c r="D151" s="1364"/>
    </row>
    <row r="152" spans="2:4" ht="20.100000000000001">
      <c r="B152" s="1366" t="s">
        <v>1335</v>
      </c>
      <c r="C152" s="1366" t="s">
        <v>1197</v>
      </c>
      <c r="D152" s="1364"/>
    </row>
    <row r="153" spans="2:4">
      <c r="B153" s="1366" t="s">
        <v>1336</v>
      </c>
      <c r="C153" s="1366" t="s">
        <v>1197</v>
      </c>
      <c r="D153" s="1364"/>
    </row>
    <row r="154" spans="2:4">
      <c r="B154" s="1366" t="s">
        <v>1337</v>
      </c>
      <c r="C154" s="1366" t="s">
        <v>1197</v>
      </c>
      <c r="D154" s="1364"/>
    </row>
    <row r="155" spans="2:4">
      <c r="B155" s="1366" t="s">
        <v>1338</v>
      </c>
      <c r="C155" s="1366" t="s">
        <v>1197</v>
      </c>
      <c r="D155" s="1364"/>
    </row>
    <row r="156" spans="2:4" ht="20.100000000000001">
      <c r="B156" s="1366" t="s">
        <v>1339</v>
      </c>
      <c r="C156" s="1366" t="s">
        <v>1197</v>
      </c>
      <c r="D156" s="1364"/>
    </row>
    <row r="157" spans="2:4">
      <c r="B157" s="1366" t="s">
        <v>1340</v>
      </c>
      <c r="C157" s="1366" t="s">
        <v>1197</v>
      </c>
      <c r="D157" s="1364"/>
    </row>
    <row r="158" spans="2:4">
      <c r="B158" s="1366" t="s">
        <v>1341</v>
      </c>
      <c r="C158" s="1366" t="s">
        <v>1197</v>
      </c>
      <c r="D158" s="1364"/>
    </row>
    <row r="159" spans="2:4">
      <c r="B159" s="1366" t="s">
        <v>1342</v>
      </c>
      <c r="C159" s="1366" t="s">
        <v>1197</v>
      </c>
      <c r="D159" s="1364"/>
    </row>
    <row r="160" spans="2:4">
      <c r="B160" s="1368" t="s">
        <v>1343</v>
      </c>
      <c r="C160" s="1368" t="s">
        <v>1197</v>
      </c>
      <c r="D160" s="1364"/>
    </row>
    <row r="161" spans="2:4" ht="20.100000000000001">
      <c r="B161" s="1368" t="s">
        <v>1344</v>
      </c>
      <c r="C161" s="1368" t="s">
        <v>1197</v>
      </c>
      <c r="D161" s="1364"/>
    </row>
    <row r="162" spans="2:4">
      <c r="B162" s="1366" t="s">
        <v>1345</v>
      </c>
      <c r="C162" s="1366" t="s">
        <v>1197</v>
      </c>
      <c r="D162" s="1364"/>
    </row>
    <row r="163" spans="2:4">
      <c r="B163" s="1366" t="s">
        <v>1346</v>
      </c>
      <c r="C163" s="1366" t="s">
        <v>1197</v>
      </c>
      <c r="D163" s="1364"/>
    </row>
    <row r="164" spans="2:4">
      <c r="B164" s="1366" t="s">
        <v>1347</v>
      </c>
      <c r="C164" s="1366" t="s">
        <v>1197</v>
      </c>
      <c r="D164" s="1364"/>
    </row>
    <row r="165" spans="2:4">
      <c r="B165" s="1366" t="s">
        <v>1348</v>
      </c>
      <c r="C165" s="1366" t="s">
        <v>1197</v>
      </c>
      <c r="D165" s="1364"/>
    </row>
    <row r="166" spans="2:4">
      <c r="B166" s="1366" t="s">
        <v>1349</v>
      </c>
      <c r="C166" s="1366" t="s">
        <v>1197</v>
      </c>
      <c r="D166" s="1364"/>
    </row>
    <row r="167" spans="2:4">
      <c r="B167" s="1366" t="s">
        <v>1350</v>
      </c>
      <c r="C167" s="1366" t="s">
        <v>1197</v>
      </c>
      <c r="D167" s="1364"/>
    </row>
    <row r="168" spans="2:4">
      <c r="B168" s="1366" t="s">
        <v>1351</v>
      </c>
      <c r="C168" s="1366" t="s">
        <v>1197</v>
      </c>
      <c r="D168" s="1364"/>
    </row>
    <row r="169" spans="2:4">
      <c r="B169" s="1366" t="s">
        <v>1352</v>
      </c>
      <c r="C169" s="1366" t="s">
        <v>1197</v>
      </c>
      <c r="D169" s="1364"/>
    </row>
    <row r="170" spans="2:4">
      <c r="B170" s="1366" t="s">
        <v>1353</v>
      </c>
      <c r="C170" s="1366" t="s">
        <v>1197</v>
      </c>
      <c r="D170" s="1364"/>
    </row>
    <row r="171" spans="2:4">
      <c r="B171" s="1366" t="s">
        <v>1354</v>
      </c>
      <c r="C171" s="1366" t="s">
        <v>1197</v>
      </c>
      <c r="D171" s="1364"/>
    </row>
    <row r="172" spans="2:4">
      <c r="B172" s="1366" t="s">
        <v>1355</v>
      </c>
      <c r="C172" s="1366" t="s">
        <v>1197</v>
      </c>
      <c r="D172" s="1364"/>
    </row>
    <row r="173" spans="2:4">
      <c r="B173" s="1366" t="s">
        <v>1356</v>
      </c>
      <c r="C173" s="1366" t="s">
        <v>1197</v>
      </c>
      <c r="D173" s="1364"/>
    </row>
    <row r="174" spans="2:4">
      <c r="B174" s="1366" t="s">
        <v>1357</v>
      </c>
      <c r="C174" s="1366" t="s">
        <v>1197</v>
      </c>
      <c r="D174" s="1364"/>
    </row>
    <row r="175" spans="2:4">
      <c r="B175" s="1366" t="s">
        <v>1358</v>
      </c>
      <c r="C175" s="1366" t="s">
        <v>1197</v>
      </c>
      <c r="D175" s="1364"/>
    </row>
    <row r="176" spans="2:4">
      <c r="B176" s="1366" t="s">
        <v>1359</v>
      </c>
      <c r="C176" s="1366" t="s">
        <v>1197</v>
      </c>
      <c r="D176" s="1364"/>
    </row>
    <row r="177" spans="2:4">
      <c r="B177" s="1366" t="s">
        <v>1360</v>
      </c>
      <c r="C177" s="1366" t="s">
        <v>1197</v>
      </c>
      <c r="D177" s="1364"/>
    </row>
    <row r="178" spans="2:4">
      <c r="B178" s="1366" t="s">
        <v>1361</v>
      </c>
      <c r="C178" s="1366" t="s">
        <v>1197</v>
      </c>
      <c r="D178" s="1364"/>
    </row>
    <row r="179" spans="2:4">
      <c r="B179" s="1366" t="s">
        <v>1362</v>
      </c>
      <c r="C179" s="1366" t="s">
        <v>1197</v>
      </c>
      <c r="D179" s="1364"/>
    </row>
    <row r="180" spans="2:4">
      <c r="B180" s="1366" t="s">
        <v>1363</v>
      </c>
      <c r="C180" s="1366" t="s">
        <v>1197</v>
      </c>
      <c r="D180" s="1364"/>
    </row>
    <row r="181" spans="2:4">
      <c r="B181" s="1366" t="s">
        <v>1364</v>
      </c>
      <c r="C181" s="1366" t="s">
        <v>1197</v>
      </c>
      <c r="D181" s="1364"/>
    </row>
    <row r="182" spans="2:4">
      <c r="B182" s="1366" t="s">
        <v>1365</v>
      </c>
      <c r="C182" s="1366" t="s">
        <v>1197</v>
      </c>
      <c r="D182" s="1364"/>
    </row>
    <row r="183" spans="2:4">
      <c r="B183" s="1366" t="s">
        <v>1366</v>
      </c>
      <c r="C183" s="1366" t="s">
        <v>1197</v>
      </c>
      <c r="D183" s="1364"/>
    </row>
    <row r="184" spans="2:4">
      <c r="B184" s="1366" t="s">
        <v>1367</v>
      </c>
      <c r="C184" s="1366" t="s">
        <v>1197</v>
      </c>
      <c r="D184" s="1364"/>
    </row>
    <row r="185" spans="2:4">
      <c r="B185" s="1366" t="s">
        <v>1368</v>
      </c>
      <c r="C185" s="1366" t="s">
        <v>1197</v>
      </c>
      <c r="D185" s="1364"/>
    </row>
    <row r="186" spans="2:4">
      <c r="B186" s="1366" t="s">
        <v>1369</v>
      </c>
      <c r="C186" s="1366" t="s">
        <v>1197</v>
      </c>
      <c r="D186" s="1364"/>
    </row>
    <row r="187" spans="2:4">
      <c r="B187" s="1366" t="s">
        <v>1370</v>
      </c>
      <c r="C187" s="1366" t="s">
        <v>1197</v>
      </c>
      <c r="D187" s="1364"/>
    </row>
    <row r="188" spans="2:4" ht="20.100000000000001">
      <c r="B188" s="1366" t="s">
        <v>1371</v>
      </c>
      <c r="C188" s="1366" t="s">
        <v>1197</v>
      </c>
      <c r="D188" s="1364"/>
    </row>
    <row r="189" spans="2:4">
      <c r="B189" s="1366" t="s">
        <v>1372</v>
      </c>
      <c r="C189" s="1366" t="s">
        <v>1197</v>
      </c>
      <c r="D189" s="1364"/>
    </row>
    <row r="190" spans="2:4">
      <c r="B190" s="1366" t="s">
        <v>1373</v>
      </c>
      <c r="C190" s="1366" t="s">
        <v>1197</v>
      </c>
      <c r="D190" s="1364"/>
    </row>
    <row r="191" spans="2:4">
      <c r="B191" s="1366" t="s">
        <v>1374</v>
      </c>
      <c r="C191" s="1366" t="s">
        <v>1197</v>
      </c>
      <c r="D191" s="1364"/>
    </row>
    <row r="192" spans="2:4">
      <c r="B192" s="1366" t="s">
        <v>1375</v>
      </c>
      <c r="C192" s="1366" t="s">
        <v>1197</v>
      </c>
      <c r="D192" s="1364"/>
    </row>
    <row r="193" spans="2:4">
      <c r="B193" s="1366" t="s">
        <v>1376</v>
      </c>
      <c r="C193" s="1366" t="s">
        <v>1197</v>
      </c>
      <c r="D193" s="1364"/>
    </row>
    <row r="194" spans="2:4">
      <c r="B194" s="1366" t="s">
        <v>1377</v>
      </c>
      <c r="C194" s="1366" t="s">
        <v>1197</v>
      </c>
      <c r="D194" s="1364"/>
    </row>
    <row r="195" spans="2:4" ht="20.100000000000001">
      <c r="B195" s="1366" t="s">
        <v>1378</v>
      </c>
      <c r="C195" s="1366" t="s">
        <v>1197</v>
      </c>
      <c r="D195" s="1364"/>
    </row>
    <row r="196" spans="2:4">
      <c r="B196" s="1366" t="s">
        <v>1379</v>
      </c>
      <c r="C196" s="1366" t="s">
        <v>1197</v>
      </c>
      <c r="D196" s="1364"/>
    </row>
    <row r="197" spans="2:4">
      <c r="B197" s="1366" t="s">
        <v>1380</v>
      </c>
      <c r="C197" s="1366" t="s">
        <v>1197</v>
      </c>
      <c r="D197" s="1364"/>
    </row>
    <row r="198" spans="2:4">
      <c r="B198" s="1366" t="s">
        <v>1381</v>
      </c>
      <c r="C198" s="1366" t="s">
        <v>1197</v>
      </c>
      <c r="D198" s="1364"/>
    </row>
    <row r="199" spans="2:4">
      <c r="B199" s="1366" t="s">
        <v>1382</v>
      </c>
      <c r="C199" s="1366" t="s">
        <v>1197</v>
      </c>
      <c r="D199" s="1364"/>
    </row>
    <row r="200" spans="2:4">
      <c r="B200" s="1366" t="s">
        <v>1383</v>
      </c>
      <c r="C200" s="1366" t="s">
        <v>1197</v>
      </c>
      <c r="D200" s="1364"/>
    </row>
    <row r="201" spans="2:4">
      <c r="B201" s="1366" t="s">
        <v>1384</v>
      </c>
      <c r="C201" s="1366" t="s">
        <v>1197</v>
      </c>
      <c r="D201" s="1364"/>
    </row>
    <row r="202" spans="2:4">
      <c r="B202" s="1368" t="s">
        <v>1385</v>
      </c>
      <c r="C202" s="1368" t="s">
        <v>1197</v>
      </c>
      <c r="D202" s="1364"/>
    </row>
    <row r="203" spans="2:4">
      <c r="B203" s="1368" t="s">
        <v>1386</v>
      </c>
      <c r="C203" s="1368" t="s">
        <v>1197</v>
      </c>
      <c r="D203" s="1364"/>
    </row>
    <row r="204" spans="2:4">
      <c r="B204" s="1366" t="s">
        <v>1387</v>
      </c>
      <c r="C204" s="1366" t="s">
        <v>1197</v>
      </c>
      <c r="D204" s="1364"/>
    </row>
    <row r="205" spans="2:4">
      <c r="B205" s="1366" t="s">
        <v>1388</v>
      </c>
      <c r="C205" s="1366" t="s">
        <v>1197</v>
      </c>
      <c r="D205" s="1364"/>
    </row>
    <row r="206" spans="2:4">
      <c r="B206" s="1366" t="s">
        <v>1389</v>
      </c>
      <c r="C206" s="1366" t="s">
        <v>1197</v>
      </c>
      <c r="D206" s="1364"/>
    </row>
    <row r="207" spans="2:4">
      <c r="B207" s="1366" t="s">
        <v>1390</v>
      </c>
      <c r="C207" s="1366" t="s">
        <v>1197</v>
      </c>
      <c r="D207" s="1364"/>
    </row>
    <row r="208" spans="2:4">
      <c r="B208" s="1368" t="s">
        <v>1391</v>
      </c>
      <c r="C208" s="1368" t="s">
        <v>1197</v>
      </c>
      <c r="D208" s="1364"/>
    </row>
    <row r="209" spans="2:4">
      <c r="B209" s="1366" t="s">
        <v>1392</v>
      </c>
      <c r="C209" s="1366" t="s">
        <v>1197</v>
      </c>
      <c r="D209" s="1364"/>
    </row>
    <row r="210" spans="2:4">
      <c r="B210" s="1366" t="s">
        <v>1393</v>
      </c>
      <c r="C210" s="1366" t="s">
        <v>1197</v>
      </c>
      <c r="D210" s="1364"/>
    </row>
    <row r="211" spans="2:4">
      <c r="B211" s="1366" t="s">
        <v>1394</v>
      </c>
      <c r="C211" s="1366" t="s">
        <v>1197</v>
      </c>
      <c r="D211" s="1364"/>
    </row>
    <row r="212" spans="2:4">
      <c r="B212" s="1366" t="s">
        <v>1395</v>
      </c>
      <c r="C212" s="1366" t="s">
        <v>1197</v>
      </c>
      <c r="D212" s="1364"/>
    </row>
    <row r="213" spans="2:4">
      <c r="B213" s="1366" t="s">
        <v>1396</v>
      </c>
      <c r="C213" s="1366" t="s">
        <v>1197</v>
      </c>
      <c r="D213" s="1364"/>
    </row>
    <row r="214" spans="2:4" ht="20.100000000000001">
      <c r="B214" s="1366" t="s">
        <v>1397</v>
      </c>
      <c r="C214" s="1366" t="s">
        <v>1197</v>
      </c>
      <c r="D214" s="1364"/>
    </row>
    <row r="215" spans="2:4">
      <c r="B215" s="1366" t="s">
        <v>1398</v>
      </c>
      <c r="C215" s="1366" t="s">
        <v>1197</v>
      </c>
      <c r="D215" s="1364"/>
    </row>
    <row r="216" spans="2:4">
      <c r="B216" s="1366" t="s">
        <v>1399</v>
      </c>
      <c r="C216" s="1366" t="s">
        <v>1197</v>
      </c>
      <c r="D216" s="1364"/>
    </row>
    <row r="217" spans="2:4">
      <c r="B217" s="1366" t="s">
        <v>1400</v>
      </c>
      <c r="C217" s="1366" t="s">
        <v>1197</v>
      </c>
      <c r="D217" s="1364"/>
    </row>
    <row r="218" spans="2:4">
      <c r="B218" s="1366" t="s">
        <v>1401</v>
      </c>
      <c r="C218" s="1366" t="s">
        <v>1197</v>
      </c>
      <c r="D218" s="1364"/>
    </row>
    <row r="219" spans="2:4">
      <c r="B219" s="1366" t="s">
        <v>1402</v>
      </c>
      <c r="C219" s="1366" t="s">
        <v>1197</v>
      </c>
      <c r="D219" s="1364"/>
    </row>
    <row r="220" spans="2:4">
      <c r="B220" s="1366" t="s">
        <v>1403</v>
      </c>
      <c r="C220" s="1366" t="s">
        <v>1197</v>
      </c>
      <c r="D220" s="1364"/>
    </row>
    <row r="221" spans="2:4">
      <c r="B221" s="1366" t="s">
        <v>1404</v>
      </c>
      <c r="C221" s="1366" t="s">
        <v>1197</v>
      </c>
      <c r="D221" s="1364"/>
    </row>
    <row r="222" spans="2:4">
      <c r="B222" s="1366" t="s">
        <v>1405</v>
      </c>
      <c r="C222" s="1366" t="s">
        <v>1197</v>
      </c>
      <c r="D222" s="1364"/>
    </row>
    <row r="223" spans="2:4">
      <c r="B223" s="1366" t="s">
        <v>1406</v>
      </c>
      <c r="C223" s="1366" t="s">
        <v>1197</v>
      </c>
      <c r="D223" s="1364"/>
    </row>
    <row r="224" spans="2:4">
      <c r="B224" s="1366" t="s">
        <v>1407</v>
      </c>
      <c r="C224" s="1366" t="s">
        <v>1197</v>
      </c>
      <c r="D224" s="1364"/>
    </row>
    <row r="225" spans="2:4">
      <c r="B225" s="1366" t="s">
        <v>1408</v>
      </c>
      <c r="C225" s="1366" t="s">
        <v>1197</v>
      </c>
      <c r="D225" s="1364"/>
    </row>
    <row r="226" spans="2:4">
      <c r="B226" s="1366" t="s">
        <v>1409</v>
      </c>
      <c r="C226" s="1366" t="s">
        <v>1197</v>
      </c>
      <c r="D226" s="1364"/>
    </row>
    <row r="227" spans="2:4">
      <c r="B227" s="1366" t="s">
        <v>1410</v>
      </c>
      <c r="C227" s="1366" t="s">
        <v>1197</v>
      </c>
      <c r="D227" s="1364"/>
    </row>
    <row r="228" spans="2:4" ht="20.100000000000001">
      <c r="B228" s="1366" t="s">
        <v>1411</v>
      </c>
      <c r="C228" s="1366" t="s">
        <v>1197</v>
      </c>
      <c r="D228" s="1364"/>
    </row>
    <row r="229" spans="2:4">
      <c r="B229" s="1366" t="s">
        <v>1412</v>
      </c>
      <c r="C229" s="1366" t="s">
        <v>1197</v>
      </c>
      <c r="D229" s="1364"/>
    </row>
    <row r="230" spans="2:4">
      <c r="B230" s="1366" t="s">
        <v>1413</v>
      </c>
      <c r="C230" s="1366" t="s">
        <v>1197</v>
      </c>
      <c r="D230" s="1364"/>
    </row>
    <row r="231" spans="2:4" ht="20.100000000000001">
      <c r="B231" s="1366" t="s">
        <v>1414</v>
      </c>
      <c r="C231" s="1366" t="s">
        <v>1197</v>
      </c>
      <c r="D231" s="1364"/>
    </row>
    <row r="232" spans="2:4">
      <c r="B232" s="1366" t="s">
        <v>1415</v>
      </c>
      <c r="C232" s="1366" t="s">
        <v>1197</v>
      </c>
      <c r="D232" s="1364"/>
    </row>
    <row r="233" spans="2:4">
      <c r="B233" s="1366" t="s">
        <v>1416</v>
      </c>
      <c r="C233" s="1366" t="s">
        <v>1197</v>
      </c>
      <c r="D233" s="1364"/>
    </row>
    <row r="234" spans="2:4">
      <c r="B234" s="1366" t="s">
        <v>1417</v>
      </c>
      <c r="C234" s="1366" t="s">
        <v>1197</v>
      </c>
      <c r="D234" s="1364"/>
    </row>
    <row r="235" spans="2:4">
      <c r="B235" s="1366" t="s">
        <v>1418</v>
      </c>
      <c r="C235" s="1366" t="s">
        <v>1197</v>
      </c>
      <c r="D235" s="1364"/>
    </row>
    <row r="236" spans="2:4">
      <c r="B236" s="1368" t="s">
        <v>1419</v>
      </c>
      <c r="C236" s="1368" t="s">
        <v>1197</v>
      </c>
      <c r="D236" s="1364"/>
    </row>
    <row r="237" spans="2:4">
      <c r="B237" s="1366" t="s">
        <v>1420</v>
      </c>
      <c r="C237" s="1366" t="s">
        <v>1197</v>
      </c>
      <c r="D237" s="1364"/>
    </row>
    <row r="238" spans="2:4">
      <c r="B238" s="1366" t="s">
        <v>1421</v>
      </c>
      <c r="C238" s="1366" t="s">
        <v>1197</v>
      </c>
      <c r="D238" s="1364"/>
    </row>
    <row r="239" spans="2:4">
      <c r="B239" s="1368" t="s">
        <v>1422</v>
      </c>
      <c r="C239" s="1368" t="s">
        <v>1197</v>
      </c>
      <c r="D239" s="1364"/>
    </row>
    <row r="240" spans="2:4">
      <c r="B240" s="1366" t="s">
        <v>1423</v>
      </c>
      <c r="C240" s="1366" t="s">
        <v>1197</v>
      </c>
      <c r="D240" s="1364"/>
    </row>
    <row r="241" spans="2:4" ht="20.100000000000001">
      <c r="B241" s="1366" t="s">
        <v>1424</v>
      </c>
      <c r="C241" s="1366" t="s">
        <v>1197</v>
      </c>
      <c r="D241" s="1364"/>
    </row>
    <row r="242" spans="2:4">
      <c r="B242" s="1368" t="s">
        <v>1425</v>
      </c>
      <c r="C242" s="1368" t="s">
        <v>1197</v>
      </c>
      <c r="D242" s="1364"/>
    </row>
    <row r="243" spans="2:4">
      <c r="B243" s="1366" t="s">
        <v>1426</v>
      </c>
      <c r="C243" s="1366" t="s">
        <v>1197</v>
      </c>
      <c r="D243" s="1364"/>
    </row>
    <row r="244" spans="2:4">
      <c r="B244" s="1366" t="s">
        <v>1427</v>
      </c>
      <c r="C244" s="1366" t="s">
        <v>1197</v>
      </c>
      <c r="D244" s="1364"/>
    </row>
    <row r="245" spans="2:4">
      <c r="B245" s="1366" t="s">
        <v>1428</v>
      </c>
      <c r="C245" s="1366" t="s">
        <v>1197</v>
      </c>
      <c r="D245" s="1364"/>
    </row>
    <row r="246" spans="2:4">
      <c r="B246" s="1366" t="s">
        <v>1429</v>
      </c>
      <c r="C246" s="1366" t="s">
        <v>1197</v>
      </c>
      <c r="D246" s="1364"/>
    </row>
    <row r="247" spans="2:4">
      <c r="B247" s="1366" t="s">
        <v>1430</v>
      </c>
      <c r="C247" s="1366" t="s">
        <v>1197</v>
      </c>
      <c r="D247" s="1364"/>
    </row>
    <row r="248" spans="2:4">
      <c r="B248" s="1366" t="s">
        <v>1431</v>
      </c>
      <c r="C248" s="1366" t="s">
        <v>1197</v>
      </c>
      <c r="D248" s="1364"/>
    </row>
    <row r="249" spans="2:4">
      <c r="B249" s="1366" t="s">
        <v>1432</v>
      </c>
      <c r="C249" s="1366" t="s">
        <v>1197</v>
      </c>
      <c r="D249" s="1364"/>
    </row>
    <row r="250" spans="2:4">
      <c r="B250" s="1366" t="s">
        <v>1433</v>
      </c>
      <c r="C250" s="1366" t="s">
        <v>1197</v>
      </c>
      <c r="D250" s="1364"/>
    </row>
    <row r="251" spans="2:4">
      <c r="B251" s="1366" t="s">
        <v>1434</v>
      </c>
      <c r="C251" s="1366" t="s">
        <v>1197</v>
      </c>
      <c r="D251" s="1364"/>
    </row>
    <row r="252" spans="2:4">
      <c r="B252" s="1366" t="s">
        <v>1435</v>
      </c>
      <c r="C252" s="1366" t="s">
        <v>1197</v>
      </c>
      <c r="D252" s="1364"/>
    </row>
    <row r="253" spans="2:4">
      <c r="B253" s="1366" t="s">
        <v>1436</v>
      </c>
      <c r="C253" s="1366" t="s">
        <v>1197</v>
      </c>
    </row>
  </sheetData>
  <autoFilter ref="B1:D1" xr:uid="{7E7AFE50-777F-43D6-AB90-1DF557FD2219}"/>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2E6188-8A1F-4E1E-A434-2509F8424505}">
  <sheetPr filterMode="1"/>
  <dimension ref="A1:P158"/>
  <sheetViews>
    <sheetView zoomScale="85" zoomScaleNormal="85" workbookViewId="0">
      <pane ySplit="1" topLeftCell="A83" activePane="bottomLeft" state="frozen"/>
      <selection pane="bottomLeft" activeCell="H114" sqref="H114"/>
    </sheetView>
  </sheetViews>
  <sheetFormatPr defaultColWidth="8.7109375" defaultRowHeight="14.1"/>
  <cols>
    <col min="1" max="1" width="6.28515625" style="49" customWidth="1"/>
    <col min="2" max="2" width="16.7109375" style="71" customWidth="1"/>
    <col min="3" max="3" width="9.42578125" style="31" customWidth="1"/>
    <col min="4" max="4" width="8.7109375" style="31"/>
    <col min="5" max="5" width="8.7109375" style="31" customWidth="1"/>
    <col min="6" max="6" width="9.42578125" style="31" customWidth="1"/>
    <col min="7" max="7" width="8.28515625" style="31" customWidth="1"/>
    <col min="8" max="8" width="8.7109375" style="31" customWidth="1"/>
    <col min="9" max="9" width="9.7109375" style="31" customWidth="1"/>
    <col min="10" max="10" width="15.7109375" style="31" customWidth="1"/>
    <col min="11" max="11" width="9.7109375" style="31" bestFit="1" customWidth="1"/>
    <col min="12" max="12" width="14.7109375" style="30" customWidth="1"/>
    <col min="13" max="13" width="5.5703125" style="31" customWidth="1"/>
    <col min="14" max="14" width="12" style="30" customWidth="1"/>
    <col min="15" max="15" width="85.28515625" style="414" customWidth="1"/>
    <col min="16" max="16" width="116.5703125" style="31" customWidth="1"/>
    <col min="17" max="16384" width="8.7109375" style="31"/>
  </cols>
  <sheetData>
    <row r="1" spans="1:15" s="30" customFormat="1" ht="50.1" customHeight="1">
      <c r="A1" s="34" t="s">
        <v>0</v>
      </c>
      <c r="B1" s="34" t="s">
        <v>1</v>
      </c>
      <c r="C1" s="34" t="s">
        <v>2</v>
      </c>
      <c r="D1" s="34" t="s">
        <v>3</v>
      </c>
      <c r="E1" s="34" t="s">
        <v>4</v>
      </c>
      <c r="F1" s="34" t="s">
        <v>5</v>
      </c>
      <c r="G1" s="34" t="s">
        <v>6</v>
      </c>
      <c r="H1" s="34" t="s">
        <v>7</v>
      </c>
      <c r="I1" s="34" t="s">
        <v>8</v>
      </c>
      <c r="J1" s="34" t="s">
        <v>9</v>
      </c>
      <c r="K1" s="34" t="s">
        <v>10</v>
      </c>
      <c r="L1" s="35"/>
      <c r="M1" s="34" t="s">
        <v>59</v>
      </c>
      <c r="N1" s="35"/>
      <c r="O1" s="413" t="s">
        <v>12</v>
      </c>
    </row>
    <row r="2" spans="1:15" s="30" customFormat="1" hidden="1">
      <c r="A2" s="74"/>
      <c r="B2" s="74" t="s">
        <v>60</v>
      </c>
      <c r="C2" s="74" t="s">
        <v>61</v>
      </c>
      <c r="D2" s="74" t="s">
        <v>62</v>
      </c>
      <c r="E2" s="74" t="s">
        <v>63</v>
      </c>
      <c r="F2" s="52">
        <f>D2*E2</f>
        <v>21170.719999999998</v>
      </c>
      <c r="G2" s="52">
        <v>444</v>
      </c>
      <c r="H2" s="52" t="str">
        <f>D2</f>
        <v>68.96</v>
      </c>
      <c r="I2" s="52">
        <f>G2*H2</f>
        <v>30618.239999999998</v>
      </c>
      <c r="J2" s="53">
        <f>I2/F2-1</f>
        <v>0.44625407166123776</v>
      </c>
      <c r="K2" s="54">
        <f>C2*(1+J2)</f>
        <v>776.63843648208467</v>
      </c>
      <c r="L2" s="55" t="s">
        <v>14</v>
      </c>
      <c r="M2" s="74"/>
      <c r="N2" s="75"/>
      <c r="O2" s="372" t="s">
        <v>64</v>
      </c>
    </row>
    <row r="3" spans="1:15" s="30" customFormat="1" hidden="1">
      <c r="A3" s="74"/>
      <c r="B3" s="74" t="s">
        <v>60</v>
      </c>
      <c r="C3" s="74" t="s">
        <v>61</v>
      </c>
      <c r="D3" s="74" t="s">
        <v>62</v>
      </c>
      <c r="E3" s="74" t="s">
        <v>63</v>
      </c>
      <c r="F3" s="52">
        <f>D3*E3</f>
        <v>21170.719999999998</v>
      </c>
      <c r="G3" s="52">
        <v>444</v>
      </c>
      <c r="H3" s="52">
        <v>50</v>
      </c>
      <c r="I3" s="52">
        <f>G3*H3</f>
        <v>22200</v>
      </c>
      <c r="J3" s="53">
        <f>I3/F3-1</f>
        <v>4.8618091401709584E-2</v>
      </c>
      <c r="K3" s="54">
        <f>C3*(1+J3)</f>
        <v>563.10791508271802</v>
      </c>
      <c r="L3" s="75"/>
      <c r="M3" s="74"/>
      <c r="N3" s="75"/>
      <c r="O3" s="372"/>
    </row>
    <row r="4" spans="1:15">
      <c r="A4" s="49">
        <v>1</v>
      </c>
      <c r="B4" s="70" t="s">
        <v>65</v>
      </c>
      <c r="C4" s="31">
        <v>298</v>
      </c>
      <c r="D4" s="31">
        <v>20.2</v>
      </c>
      <c r="E4" s="31">
        <v>30.2</v>
      </c>
      <c r="F4" s="31">
        <f>D4*E4</f>
        <v>610.04</v>
      </c>
      <c r="G4" s="31">
        <v>36</v>
      </c>
      <c r="H4" s="31">
        <f>D4</f>
        <v>20.2</v>
      </c>
      <c r="I4" s="31">
        <f>G4*H4</f>
        <v>727.19999999999993</v>
      </c>
      <c r="J4" s="32">
        <f>I4/F4-1</f>
        <v>0.1920529801324502</v>
      </c>
      <c r="K4" s="33">
        <f>C4*(1+J4)</f>
        <v>355.23178807947016</v>
      </c>
      <c r="L4" s="29" t="s">
        <v>14</v>
      </c>
      <c r="N4" s="29" t="s">
        <v>35</v>
      </c>
    </row>
    <row r="5" spans="1:15" hidden="1">
      <c r="A5" s="49">
        <v>2</v>
      </c>
      <c r="B5" s="70" t="s">
        <v>65</v>
      </c>
      <c r="C5" s="31">
        <v>298</v>
      </c>
      <c r="D5" s="31">
        <v>20.2</v>
      </c>
      <c r="E5" s="31">
        <v>30.2</v>
      </c>
      <c r="F5" s="31">
        <f>D5*E5</f>
        <v>610.04</v>
      </c>
      <c r="G5" s="31">
        <v>36</v>
      </c>
      <c r="H5" s="31">
        <v>37</v>
      </c>
      <c r="I5" s="31">
        <f>G5*H5</f>
        <v>1332</v>
      </c>
      <c r="J5" s="32">
        <f>I5/F5-1</f>
        <v>1.183463379450528</v>
      </c>
      <c r="K5" s="33">
        <f>C5*(1+J5)</f>
        <v>650.67208707625741</v>
      </c>
      <c r="L5" s="29" t="s">
        <v>14</v>
      </c>
    </row>
    <row r="6" spans="1:15" hidden="1">
      <c r="J6" s="32">
        <v>0</v>
      </c>
      <c r="K6" s="33"/>
    </row>
    <row r="7" spans="1:15" ht="56.1">
      <c r="A7" s="49">
        <v>1</v>
      </c>
      <c r="B7" s="69" t="s">
        <v>66</v>
      </c>
      <c r="C7" s="31">
        <v>298</v>
      </c>
      <c r="D7" s="31">
        <v>72.599999999999994</v>
      </c>
      <c r="E7" s="31">
        <v>6.53</v>
      </c>
      <c r="F7" s="31">
        <f t="shared" ref="F7:F70" si="0">D7*E7</f>
        <v>474.07799999999997</v>
      </c>
      <c r="G7" s="31">
        <v>11</v>
      </c>
      <c r="H7" s="31">
        <f>D7</f>
        <v>72.599999999999994</v>
      </c>
      <c r="I7" s="31">
        <f t="shared" ref="I7:I70" si="1">G7*H7</f>
        <v>798.59999999999991</v>
      </c>
      <c r="J7" s="32">
        <f t="shared" ref="J7:J29" si="2">I7/F7-1</f>
        <v>0.68453292496171514</v>
      </c>
      <c r="K7" s="33">
        <f t="shared" ref="K7:K29" si="3">C7*(1+J7)</f>
        <v>501.99081163859114</v>
      </c>
      <c r="L7" s="29" t="s">
        <v>14</v>
      </c>
      <c r="N7" s="29" t="s">
        <v>35</v>
      </c>
    </row>
    <row r="8" spans="1:15" ht="42" hidden="1">
      <c r="A8" s="49">
        <v>2</v>
      </c>
      <c r="B8" s="69" t="s">
        <v>67</v>
      </c>
      <c r="C8" s="31">
        <v>298</v>
      </c>
      <c r="D8" s="31">
        <v>72.599999999999994</v>
      </c>
      <c r="E8" s="31">
        <v>6.53</v>
      </c>
      <c r="F8" s="31">
        <f t="shared" si="0"/>
        <v>474.07799999999997</v>
      </c>
      <c r="G8" s="31">
        <v>11</v>
      </c>
      <c r="H8" s="31">
        <v>89.5</v>
      </c>
      <c r="I8" s="31">
        <f t="shared" si="1"/>
        <v>984.5</v>
      </c>
      <c r="J8" s="32">
        <f t="shared" si="2"/>
        <v>1.0766624901387538</v>
      </c>
      <c r="K8" s="33">
        <f t="shared" si="3"/>
        <v>618.84542206134859</v>
      </c>
      <c r="L8" s="29" t="s">
        <v>14</v>
      </c>
    </row>
    <row r="9" spans="1:15">
      <c r="A9" s="51">
        <v>1</v>
      </c>
      <c r="B9" s="74" t="s">
        <v>68</v>
      </c>
      <c r="C9" s="52">
        <v>1435</v>
      </c>
      <c r="D9" s="52">
        <v>31</v>
      </c>
      <c r="E9" s="52">
        <v>63.2</v>
      </c>
      <c r="F9" s="52">
        <f t="shared" si="0"/>
        <v>1959.2</v>
      </c>
      <c r="G9" s="52">
        <v>70</v>
      </c>
      <c r="H9" s="52">
        <f>D9</f>
        <v>31</v>
      </c>
      <c r="I9" s="52">
        <f t="shared" si="1"/>
        <v>2170</v>
      </c>
      <c r="J9" s="53">
        <f t="shared" si="2"/>
        <v>0.10759493670886067</v>
      </c>
      <c r="K9" s="54">
        <f t="shared" si="3"/>
        <v>1589.3987341772151</v>
      </c>
      <c r="L9" s="55" t="s">
        <v>14</v>
      </c>
      <c r="M9" s="52"/>
      <c r="N9" s="56"/>
      <c r="O9" s="432" t="s">
        <v>69</v>
      </c>
    </row>
    <row r="10" spans="1:15" hidden="1">
      <c r="A10" s="51">
        <v>2</v>
      </c>
      <c r="B10" s="74" t="s">
        <v>68</v>
      </c>
      <c r="C10" s="52">
        <v>1435</v>
      </c>
      <c r="D10" s="52">
        <v>31</v>
      </c>
      <c r="E10" s="52">
        <v>63.2</v>
      </c>
      <c r="F10" s="52">
        <f t="shared" si="0"/>
        <v>1959.2</v>
      </c>
      <c r="G10" s="52">
        <v>70</v>
      </c>
      <c r="H10" s="52">
        <v>28</v>
      </c>
      <c r="I10" s="52">
        <f t="shared" si="1"/>
        <v>1960</v>
      </c>
      <c r="J10" s="53">
        <f t="shared" si="2"/>
        <v>4.083299305839283E-4</v>
      </c>
      <c r="K10" s="54">
        <f t="shared" si="3"/>
        <v>1435.5859534503879</v>
      </c>
      <c r="L10" s="55" t="s">
        <v>14</v>
      </c>
      <c r="M10" s="52"/>
      <c r="N10" s="56"/>
      <c r="O10" s="432"/>
    </row>
    <row r="11" spans="1:15">
      <c r="A11" s="233">
        <v>1</v>
      </c>
      <c r="B11" s="234" t="s">
        <v>70</v>
      </c>
      <c r="C11" s="235">
        <v>881</v>
      </c>
      <c r="D11" s="235">
        <v>29</v>
      </c>
      <c r="E11" s="235">
        <v>86.2</v>
      </c>
      <c r="F11" s="235">
        <f t="shared" si="0"/>
        <v>2499.8000000000002</v>
      </c>
      <c r="G11" s="235">
        <v>100</v>
      </c>
      <c r="H11" s="235">
        <v>25</v>
      </c>
      <c r="I11" s="235">
        <f t="shared" si="1"/>
        <v>2500</v>
      </c>
      <c r="J11" s="236">
        <f t="shared" si="2"/>
        <v>8.0006400511978271E-5</v>
      </c>
      <c r="K11" s="237">
        <f t="shared" si="3"/>
        <v>881.0704856388511</v>
      </c>
      <c r="L11" s="238"/>
      <c r="M11" s="235">
        <v>0.4</v>
      </c>
      <c r="N11" s="239" t="s">
        <v>71</v>
      </c>
      <c r="O11" s="507" t="s">
        <v>72</v>
      </c>
    </row>
    <row r="12" spans="1:15" hidden="1">
      <c r="A12" s="233">
        <v>2</v>
      </c>
      <c r="B12" s="234" t="s">
        <v>70</v>
      </c>
      <c r="C12" s="235">
        <v>774</v>
      </c>
      <c r="D12" s="235">
        <v>25.4</v>
      </c>
      <c r="E12" s="235">
        <v>86.2</v>
      </c>
      <c r="F12" s="235">
        <f t="shared" si="0"/>
        <v>2189.48</v>
      </c>
      <c r="G12" s="235">
        <v>96</v>
      </c>
      <c r="H12" s="235">
        <v>34.5</v>
      </c>
      <c r="I12" s="235">
        <f t="shared" si="1"/>
        <v>3312</v>
      </c>
      <c r="J12" s="236">
        <f t="shared" si="2"/>
        <v>0.5126879441693919</v>
      </c>
      <c r="K12" s="237">
        <f t="shared" si="3"/>
        <v>1170.8204687871093</v>
      </c>
      <c r="L12" s="238"/>
      <c r="M12" s="235"/>
      <c r="N12" s="238"/>
      <c r="O12" s="431"/>
    </row>
    <row r="13" spans="1:15" ht="27.95">
      <c r="A13" s="337">
        <v>1</v>
      </c>
      <c r="B13" s="338" t="s">
        <v>73</v>
      </c>
      <c r="C13" s="337">
        <v>176</v>
      </c>
      <c r="D13" s="337">
        <v>36.200000000000003</v>
      </c>
      <c r="E13" s="337">
        <v>5.92</v>
      </c>
      <c r="F13" s="337">
        <f t="shared" si="0"/>
        <v>214.304</v>
      </c>
      <c r="G13" s="337">
        <v>7</v>
      </c>
      <c r="H13" s="337">
        <f>D13</f>
        <v>36.200000000000003</v>
      </c>
      <c r="I13" s="337">
        <f t="shared" si="1"/>
        <v>253.40000000000003</v>
      </c>
      <c r="J13" s="339">
        <f t="shared" si="2"/>
        <v>0.18243243243243268</v>
      </c>
      <c r="K13" s="340">
        <f t="shared" si="3"/>
        <v>208.10810810810815</v>
      </c>
      <c r="L13" s="341"/>
      <c r="M13" s="337"/>
      <c r="N13" s="338" t="s">
        <v>74</v>
      </c>
      <c r="O13" s="416" t="s">
        <v>75</v>
      </c>
    </row>
    <row r="14" spans="1:15" ht="42" hidden="1">
      <c r="A14" s="337">
        <v>2</v>
      </c>
      <c r="B14" s="338" t="s">
        <v>73</v>
      </c>
      <c r="C14" s="337">
        <v>176</v>
      </c>
      <c r="D14" s="337">
        <v>36.799999999999997</v>
      </c>
      <c r="E14" s="337">
        <v>5.83</v>
      </c>
      <c r="F14" s="337">
        <f t="shared" si="0"/>
        <v>214.54399999999998</v>
      </c>
      <c r="G14" s="337">
        <v>8</v>
      </c>
      <c r="H14" s="337">
        <v>37.799999999999997</v>
      </c>
      <c r="I14" s="337">
        <f t="shared" si="1"/>
        <v>302.39999999999998</v>
      </c>
      <c r="J14" s="339">
        <f t="shared" si="2"/>
        <v>0.40950108136326357</v>
      </c>
      <c r="K14" s="340">
        <f t="shared" si="3"/>
        <v>248.07219031993438</v>
      </c>
      <c r="L14" s="338" t="s">
        <v>76</v>
      </c>
      <c r="M14" s="337"/>
      <c r="N14" s="338" t="s">
        <v>77</v>
      </c>
      <c r="O14" s="416" t="s">
        <v>78</v>
      </c>
    </row>
    <row r="15" spans="1:15" s="235" customFormat="1" ht="84">
      <c r="A15" s="233">
        <v>1</v>
      </c>
      <c r="B15" s="234" t="s">
        <v>79</v>
      </c>
      <c r="C15" s="235">
        <v>144</v>
      </c>
      <c r="D15" s="235">
        <v>19.670000000000002</v>
      </c>
      <c r="E15" s="235">
        <v>18.3</v>
      </c>
      <c r="F15" s="235">
        <f t="shared" si="0"/>
        <v>359.96100000000007</v>
      </c>
      <c r="G15" s="235">
        <v>30</v>
      </c>
      <c r="H15" s="235">
        <f>D15</f>
        <v>19.670000000000002</v>
      </c>
      <c r="I15" s="235">
        <f t="shared" si="1"/>
        <v>590.1</v>
      </c>
      <c r="J15" s="236">
        <f t="shared" si="2"/>
        <v>0.63934426229508179</v>
      </c>
      <c r="K15" s="237">
        <f t="shared" si="3"/>
        <v>236.06557377049177</v>
      </c>
      <c r="L15" s="239" t="s">
        <v>14</v>
      </c>
      <c r="M15" s="235">
        <v>2.15</v>
      </c>
      <c r="N15" s="239" t="s">
        <v>58</v>
      </c>
      <c r="O15" s="507" t="s">
        <v>80</v>
      </c>
    </row>
    <row r="16" spans="1:15" s="235" customFormat="1" hidden="1">
      <c r="A16" s="233">
        <v>2</v>
      </c>
      <c r="B16" s="234" t="s">
        <v>79</v>
      </c>
      <c r="C16" s="235">
        <v>144</v>
      </c>
      <c r="D16" s="235">
        <v>19.670000000000002</v>
      </c>
      <c r="E16" s="235">
        <v>18.3</v>
      </c>
      <c r="F16" s="235">
        <f t="shared" si="0"/>
        <v>359.96100000000007</v>
      </c>
      <c r="G16" s="235">
        <v>25</v>
      </c>
      <c r="H16" s="235">
        <v>22.6</v>
      </c>
      <c r="I16" s="235">
        <f t="shared" si="1"/>
        <v>565</v>
      </c>
      <c r="J16" s="236">
        <f t="shared" si="2"/>
        <v>0.56961448601376219</v>
      </c>
      <c r="K16" s="237">
        <f t="shared" si="3"/>
        <v>226.02448598598176</v>
      </c>
      <c r="L16" s="239" t="s">
        <v>14</v>
      </c>
      <c r="N16" s="238" t="s">
        <v>81</v>
      </c>
      <c r="O16" s="431" t="s">
        <v>82</v>
      </c>
    </row>
    <row r="17" spans="1:15" ht="14.45">
      <c r="A17" s="51">
        <v>1</v>
      </c>
      <c r="B17" s="74" t="s">
        <v>83</v>
      </c>
      <c r="C17" s="52">
        <v>51.9</v>
      </c>
      <c r="D17" s="52">
        <v>15.6</v>
      </c>
      <c r="E17" s="52">
        <v>95.9</v>
      </c>
      <c r="F17" s="52">
        <f t="shared" si="0"/>
        <v>1496.04</v>
      </c>
      <c r="G17" s="52">
        <v>130</v>
      </c>
      <c r="H17" s="52">
        <f>D17</f>
        <v>15.6</v>
      </c>
      <c r="I17" s="52">
        <f t="shared" si="1"/>
        <v>2028</v>
      </c>
      <c r="J17" s="53">
        <f t="shared" si="2"/>
        <v>0.35557872784150168</v>
      </c>
      <c r="K17" s="54">
        <f t="shared" si="3"/>
        <v>70.354535974973942</v>
      </c>
      <c r="L17" s="55" t="s">
        <v>14</v>
      </c>
      <c r="M17" s="66">
        <v>0.84</v>
      </c>
      <c r="N17" s="56"/>
      <c r="O17" s="417" t="s">
        <v>84</v>
      </c>
    </row>
    <row r="18" spans="1:15" ht="69.95" hidden="1">
      <c r="A18" s="51">
        <v>2</v>
      </c>
      <c r="B18" s="74" t="s">
        <v>83</v>
      </c>
      <c r="C18" s="52">
        <v>51.9</v>
      </c>
      <c r="D18" s="52">
        <v>15.6</v>
      </c>
      <c r="E18" s="52">
        <v>95.9</v>
      </c>
      <c r="F18" s="52">
        <f t="shared" si="0"/>
        <v>1496.04</v>
      </c>
      <c r="G18" s="52">
        <v>130</v>
      </c>
      <c r="H18" s="52">
        <v>23</v>
      </c>
      <c r="I18" s="52">
        <f t="shared" si="1"/>
        <v>2990</v>
      </c>
      <c r="J18" s="53">
        <f t="shared" si="2"/>
        <v>0.99860966284323949</v>
      </c>
      <c r="K18" s="54">
        <f t="shared" si="3"/>
        <v>103.72784150156413</v>
      </c>
      <c r="L18" s="55" t="s">
        <v>14</v>
      </c>
      <c r="M18" s="52">
        <v>0.12</v>
      </c>
      <c r="N18" s="55" t="s">
        <v>51</v>
      </c>
      <c r="O18" s="417" t="s">
        <v>85</v>
      </c>
    </row>
    <row r="19" spans="1:15" ht="112.35" customHeight="1">
      <c r="A19" s="480">
        <v>1</v>
      </c>
      <c r="B19" s="481" t="s">
        <v>86</v>
      </c>
      <c r="C19" s="482">
        <v>610</v>
      </c>
      <c r="D19" s="482">
        <v>28.5</v>
      </c>
      <c r="E19" s="482">
        <v>35</v>
      </c>
      <c r="F19" s="482">
        <f t="shared" si="0"/>
        <v>997.5</v>
      </c>
      <c r="G19" s="482">
        <v>41</v>
      </c>
      <c r="H19" s="482">
        <f>D19</f>
        <v>28.5</v>
      </c>
      <c r="I19" s="482">
        <f t="shared" si="1"/>
        <v>1168.5</v>
      </c>
      <c r="J19" s="483">
        <f t="shared" si="2"/>
        <v>0.17142857142857149</v>
      </c>
      <c r="K19" s="484">
        <f t="shared" si="3"/>
        <v>714.57142857142856</v>
      </c>
      <c r="L19" s="485" t="s">
        <v>14</v>
      </c>
      <c r="M19" s="482"/>
      <c r="N19" s="485"/>
      <c r="O19" s="486" t="s">
        <v>87</v>
      </c>
    </row>
    <row r="20" spans="1:15" ht="98.1" hidden="1">
      <c r="A20" s="487">
        <v>2</v>
      </c>
      <c r="B20" s="481" t="s">
        <v>86</v>
      </c>
      <c r="C20" s="482">
        <v>610</v>
      </c>
      <c r="D20" s="482">
        <v>28.5</v>
      </c>
      <c r="E20" s="482">
        <v>35</v>
      </c>
      <c r="F20" s="482">
        <f t="shared" si="0"/>
        <v>997.5</v>
      </c>
      <c r="G20" s="482">
        <v>41</v>
      </c>
      <c r="H20" s="482">
        <f>D20</f>
        <v>28.5</v>
      </c>
      <c r="I20" s="482">
        <f t="shared" si="1"/>
        <v>1168.5</v>
      </c>
      <c r="J20" s="483">
        <f t="shared" si="2"/>
        <v>0.17142857142857149</v>
      </c>
      <c r="K20" s="484">
        <f t="shared" si="3"/>
        <v>714.57142857142856</v>
      </c>
      <c r="L20" s="485"/>
      <c r="M20" s="482"/>
      <c r="N20" s="485"/>
      <c r="O20" s="486" t="s">
        <v>88</v>
      </c>
    </row>
    <row r="21" spans="1:15" ht="42">
      <c r="A21" s="460">
        <v>1</v>
      </c>
      <c r="B21" s="34" t="s">
        <v>89</v>
      </c>
      <c r="C21" s="34" t="s">
        <v>90</v>
      </c>
      <c r="D21" s="34" t="s">
        <v>91</v>
      </c>
      <c r="E21" s="456">
        <v>13</v>
      </c>
      <c r="F21" s="456">
        <f t="shared" si="0"/>
        <v>735.80000000000007</v>
      </c>
      <c r="G21" s="456">
        <v>18</v>
      </c>
      <c r="H21" s="456" t="str">
        <f>D21</f>
        <v>56.6</v>
      </c>
      <c r="I21" s="456">
        <f t="shared" si="1"/>
        <v>1018.8000000000001</v>
      </c>
      <c r="J21" s="457">
        <f t="shared" si="2"/>
        <v>0.38461538461538458</v>
      </c>
      <c r="K21" s="458">
        <f t="shared" si="3"/>
        <v>1708.6153846153845</v>
      </c>
      <c r="L21" s="459" t="s">
        <v>14</v>
      </c>
      <c r="M21" s="456"/>
      <c r="N21" s="459"/>
      <c r="O21" s="463" t="s">
        <v>92</v>
      </c>
    </row>
    <row r="22" spans="1:15" ht="27.95" hidden="1">
      <c r="A22" s="460">
        <v>2</v>
      </c>
      <c r="B22" s="34" t="s">
        <v>93</v>
      </c>
      <c r="C22" s="34" t="s">
        <v>90</v>
      </c>
      <c r="D22" s="34" t="s">
        <v>91</v>
      </c>
      <c r="E22" s="456">
        <v>13</v>
      </c>
      <c r="F22" s="456">
        <f t="shared" si="0"/>
        <v>735.80000000000007</v>
      </c>
      <c r="G22" s="456">
        <v>18</v>
      </c>
      <c r="H22" s="456">
        <v>64</v>
      </c>
      <c r="I22" s="456">
        <f t="shared" si="1"/>
        <v>1152</v>
      </c>
      <c r="J22" s="457">
        <f t="shared" si="2"/>
        <v>0.56564283772764323</v>
      </c>
      <c r="K22" s="458">
        <f t="shared" si="3"/>
        <v>1932.0032617559118</v>
      </c>
      <c r="L22" s="459" t="s">
        <v>14</v>
      </c>
      <c r="M22" s="456"/>
      <c r="N22" s="459"/>
      <c r="O22" s="463"/>
    </row>
    <row r="23" spans="1:15">
      <c r="A23" s="175">
        <v>1</v>
      </c>
      <c r="B23" s="176" t="s">
        <v>94</v>
      </c>
      <c r="C23" s="175">
        <v>3352</v>
      </c>
      <c r="D23" s="175">
        <v>99.4</v>
      </c>
      <c r="E23" s="175">
        <v>189</v>
      </c>
      <c r="F23" s="175">
        <f t="shared" si="0"/>
        <v>18786.600000000002</v>
      </c>
      <c r="G23" s="175">
        <v>211</v>
      </c>
      <c r="H23" s="175">
        <f>D23</f>
        <v>99.4</v>
      </c>
      <c r="I23" s="175">
        <f t="shared" si="1"/>
        <v>20973.4</v>
      </c>
      <c r="J23" s="177">
        <f t="shared" si="2"/>
        <v>0.11640211640211628</v>
      </c>
      <c r="K23" s="178">
        <f t="shared" si="3"/>
        <v>3742.1798941798938</v>
      </c>
      <c r="L23" s="179"/>
      <c r="M23" s="175">
        <v>0.69</v>
      </c>
      <c r="N23" s="179"/>
      <c r="O23" s="423" t="s">
        <v>95</v>
      </c>
    </row>
    <row r="24" spans="1:15" hidden="1">
      <c r="A24" s="175">
        <v>2</v>
      </c>
      <c r="B24" s="176" t="s">
        <v>94</v>
      </c>
      <c r="C24" s="175">
        <v>3352</v>
      </c>
      <c r="D24" s="175">
        <v>99.4</v>
      </c>
      <c r="E24" s="175">
        <v>189</v>
      </c>
      <c r="F24" s="175">
        <f t="shared" si="0"/>
        <v>18786.600000000002</v>
      </c>
      <c r="G24" s="175">
        <v>211</v>
      </c>
      <c r="H24" s="175">
        <v>84.6</v>
      </c>
      <c r="I24" s="175">
        <f t="shared" si="1"/>
        <v>17850.599999999999</v>
      </c>
      <c r="J24" s="177">
        <f t="shared" si="2"/>
        <v>-4.9822745999808515E-2</v>
      </c>
      <c r="K24" s="178">
        <f t="shared" si="3"/>
        <v>3184.9941554086417</v>
      </c>
      <c r="L24" s="179"/>
      <c r="M24" s="175"/>
      <c r="N24" s="179"/>
      <c r="O24" s="423"/>
    </row>
    <row r="25" spans="1:15" ht="42">
      <c r="A25" s="50">
        <v>1</v>
      </c>
      <c r="B25" s="70" t="s">
        <v>96</v>
      </c>
      <c r="C25" s="31">
        <v>380</v>
      </c>
      <c r="D25" s="31">
        <v>21</v>
      </c>
      <c r="E25" s="31">
        <v>13</v>
      </c>
      <c r="F25" s="31">
        <f t="shared" si="0"/>
        <v>273</v>
      </c>
      <c r="G25" s="31">
        <v>16</v>
      </c>
      <c r="H25" s="31">
        <f>D25</f>
        <v>21</v>
      </c>
      <c r="I25" s="31">
        <f t="shared" si="1"/>
        <v>336</v>
      </c>
      <c r="J25" s="32" t="s">
        <v>97</v>
      </c>
      <c r="K25" s="33" t="e">
        <f t="shared" si="3"/>
        <v>#VALUE!</v>
      </c>
      <c r="L25" s="29" t="s">
        <v>14</v>
      </c>
      <c r="N25" s="29" t="s">
        <v>35</v>
      </c>
      <c r="O25" s="418" t="s">
        <v>98</v>
      </c>
    </row>
    <row r="26" spans="1:15" ht="42" hidden="1">
      <c r="A26" s="50">
        <v>2</v>
      </c>
      <c r="B26" s="70" t="s">
        <v>96</v>
      </c>
      <c r="C26" s="31">
        <v>380</v>
      </c>
      <c r="D26" s="31">
        <v>21</v>
      </c>
      <c r="E26" s="31">
        <v>13</v>
      </c>
      <c r="F26" s="31">
        <f t="shared" si="0"/>
        <v>273</v>
      </c>
      <c r="G26" s="31">
        <v>16</v>
      </c>
      <c r="H26" s="31">
        <v>27.6</v>
      </c>
      <c r="I26" s="31">
        <f t="shared" si="1"/>
        <v>441.6</v>
      </c>
      <c r="J26" s="32">
        <f t="shared" si="2"/>
        <v>0.61758241758241761</v>
      </c>
      <c r="K26" s="33">
        <f t="shared" si="3"/>
        <v>614.68131868131866</v>
      </c>
      <c r="L26" s="29" t="s">
        <v>14</v>
      </c>
    </row>
    <row r="27" spans="1:15" ht="27.95">
      <c r="A27" s="75">
        <v>1</v>
      </c>
      <c r="B27" s="76" t="s">
        <v>99</v>
      </c>
      <c r="C27" s="75">
        <v>383</v>
      </c>
      <c r="D27" s="75">
        <v>56.2</v>
      </c>
      <c r="E27" s="75">
        <v>75.8</v>
      </c>
      <c r="F27" s="75">
        <f t="shared" si="0"/>
        <v>4259.96</v>
      </c>
      <c r="G27" s="75">
        <v>90</v>
      </c>
      <c r="H27" s="75">
        <f>D27</f>
        <v>56.2</v>
      </c>
      <c r="I27" s="75">
        <f t="shared" si="1"/>
        <v>5058</v>
      </c>
      <c r="J27" s="168">
        <f t="shared" si="2"/>
        <v>0.18733509234828505</v>
      </c>
      <c r="K27" s="169">
        <f t="shared" si="3"/>
        <v>454.74934036939317</v>
      </c>
      <c r="L27" s="74" t="s">
        <v>14</v>
      </c>
      <c r="M27" s="75"/>
      <c r="N27" s="29" t="s">
        <v>100</v>
      </c>
      <c r="O27" s="419"/>
    </row>
    <row r="28" spans="1:15" ht="27.95" hidden="1">
      <c r="A28" s="75">
        <v>2</v>
      </c>
      <c r="B28" s="76" t="s">
        <v>99</v>
      </c>
      <c r="C28" s="75">
        <v>383</v>
      </c>
      <c r="D28" s="75">
        <v>56.2</v>
      </c>
      <c r="E28" s="75">
        <v>75.8</v>
      </c>
      <c r="F28" s="75">
        <f t="shared" si="0"/>
        <v>4259.96</v>
      </c>
      <c r="G28" s="75">
        <v>90</v>
      </c>
      <c r="H28" s="75">
        <v>81</v>
      </c>
      <c r="I28" s="75">
        <f t="shared" si="1"/>
        <v>7290</v>
      </c>
      <c r="J28" s="168">
        <f t="shared" si="2"/>
        <v>0.71128367402510828</v>
      </c>
      <c r="K28" s="169">
        <f t="shared" si="3"/>
        <v>655.42164715161653</v>
      </c>
      <c r="L28" s="74" t="s">
        <v>14</v>
      </c>
      <c r="M28" s="75"/>
      <c r="N28" s="75"/>
      <c r="O28" s="419"/>
    </row>
    <row r="29" spans="1:15" ht="14.45">
      <c r="A29" s="49">
        <v>1</v>
      </c>
      <c r="B29"/>
      <c r="C29" s="31">
        <v>1362</v>
      </c>
      <c r="D29" s="31">
        <v>51.2</v>
      </c>
      <c r="E29" s="31">
        <v>502</v>
      </c>
      <c r="F29" s="31">
        <f t="shared" si="0"/>
        <v>25702.400000000001</v>
      </c>
      <c r="G29" s="31">
        <v>1100</v>
      </c>
      <c r="H29" s="31">
        <f>D29</f>
        <v>51.2</v>
      </c>
      <c r="I29" s="31">
        <f t="shared" si="1"/>
        <v>56320</v>
      </c>
      <c r="J29" s="32">
        <f t="shared" si="2"/>
        <v>1.191235059760956</v>
      </c>
      <c r="K29" s="33">
        <f t="shared" si="3"/>
        <v>2984.4621513944221</v>
      </c>
      <c r="L29" s="29" t="s">
        <v>101</v>
      </c>
    </row>
    <row r="30" spans="1:15" hidden="1">
      <c r="A30" s="49">
        <v>2</v>
      </c>
      <c r="B30" s="69" t="s">
        <v>102</v>
      </c>
      <c r="F30" s="31">
        <f t="shared" si="0"/>
        <v>0</v>
      </c>
      <c r="I30" s="31">
        <f t="shared" si="1"/>
        <v>0</v>
      </c>
      <c r="J30" s="32">
        <v>0</v>
      </c>
      <c r="K30" s="33"/>
    </row>
    <row r="31" spans="1:15">
      <c r="A31" s="240">
        <v>1</v>
      </c>
      <c r="B31" s="241" t="s">
        <v>103</v>
      </c>
      <c r="C31" s="242">
        <v>44.5</v>
      </c>
      <c r="D31" s="242">
        <v>26.9</v>
      </c>
      <c r="E31" s="242">
        <v>4.9800000000000004</v>
      </c>
      <c r="F31" s="242">
        <f t="shared" si="0"/>
        <v>133.96200000000002</v>
      </c>
      <c r="G31" s="242">
        <v>6</v>
      </c>
      <c r="H31" s="242">
        <f>D31</f>
        <v>26.9</v>
      </c>
      <c r="I31" s="242">
        <f t="shared" si="1"/>
        <v>161.39999999999998</v>
      </c>
      <c r="J31" s="243">
        <f t="shared" ref="J31:J69" si="4">I31/F31-1</f>
        <v>0.2048192771084334</v>
      </c>
      <c r="K31" s="244">
        <f t="shared" ref="K31:K69" si="5">C31*(1+J31)</f>
        <v>53.614457831325289</v>
      </c>
      <c r="L31" s="245" t="s">
        <v>14</v>
      </c>
      <c r="M31" s="242" t="s">
        <v>104</v>
      </c>
      <c r="N31" s="246"/>
    </row>
    <row r="32" spans="1:15" hidden="1">
      <c r="A32" s="247">
        <v>2</v>
      </c>
      <c r="B32" s="241" t="s">
        <v>103</v>
      </c>
      <c r="C32" s="242">
        <v>44.5</v>
      </c>
      <c r="D32" s="242">
        <v>26.9</v>
      </c>
      <c r="E32" s="242">
        <v>4.9800000000000004</v>
      </c>
      <c r="F32" s="242">
        <f t="shared" si="0"/>
        <v>133.96200000000002</v>
      </c>
      <c r="G32" s="242">
        <v>6</v>
      </c>
      <c r="H32" s="242">
        <v>23.9</v>
      </c>
      <c r="I32" s="242">
        <f t="shared" si="1"/>
        <v>143.39999999999998</v>
      </c>
      <c r="J32" s="243">
        <f t="shared" si="4"/>
        <v>7.0452814977381317E-2</v>
      </c>
      <c r="K32" s="244">
        <f t="shared" si="5"/>
        <v>47.635150266493469</v>
      </c>
      <c r="L32" s="245" t="s">
        <v>14</v>
      </c>
      <c r="M32" s="242"/>
      <c r="N32" s="246"/>
    </row>
    <row r="33" spans="1:16" ht="27.95">
      <c r="A33" s="175">
        <v>1</v>
      </c>
      <c r="B33" s="176" t="s">
        <v>105</v>
      </c>
      <c r="C33" s="175">
        <v>642</v>
      </c>
      <c r="D33" s="175">
        <v>23.4</v>
      </c>
      <c r="E33" s="175">
        <v>153</v>
      </c>
      <c r="F33" s="175">
        <f t="shared" si="0"/>
        <v>3580.2</v>
      </c>
      <c r="G33" s="175">
        <v>200</v>
      </c>
      <c r="H33" s="175">
        <f>D33</f>
        <v>23.4</v>
      </c>
      <c r="I33" s="175">
        <f t="shared" si="1"/>
        <v>4680</v>
      </c>
      <c r="J33" s="177">
        <f t="shared" si="4"/>
        <v>0.30718954248366015</v>
      </c>
      <c r="K33" s="178">
        <f t="shared" si="5"/>
        <v>839.21568627450984</v>
      </c>
      <c r="L33" s="176" t="s">
        <v>14</v>
      </c>
      <c r="M33" s="175"/>
      <c r="N33" s="176" t="s">
        <v>106</v>
      </c>
    </row>
    <row r="34" spans="1:16" hidden="1">
      <c r="A34" s="175">
        <v>2</v>
      </c>
      <c r="B34" s="176" t="s">
        <v>105</v>
      </c>
      <c r="C34" s="175">
        <v>642</v>
      </c>
      <c r="D34" s="175">
        <v>23.4</v>
      </c>
      <c r="E34" s="175">
        <v>153</v>
      </c>
      <c r="F34" s="175">
        <f t="shared" si="0"/>
        <v>3580.2</v>
      </c>
      <c r="G34" s="175">
        <v>200</v>
      </c>
      <c r="H34" s="175">
        <v>39</v>
      </c>
      <c r="I34" s="175">
        <f t="shared" si="1"/>
        <v>7800</v>
      </c>
      <c r="J34" s="177">
        <f t="shared" si="4"/>
        <v>1.1786492374727668</v>
      </c>
      <c r="K34" s="178">
        <f t="shared" si="5"/>
        <v>1398.6928104575163</v>
      </c>
      <c r="L34" s="179"/>
      <c r="M34" s="175"/>
      <c r="N34" s="179"/>
    </row>
    <row r="35" spans="1:16">
      <c r="A35" s="57">
        <v>1</v>
      </c>
      <c r="B35" s="62" t="s">
        <v>107</v>
      </c>
      <c r="C35" s="57">
        <v>3312</v>
      </c>
      <c r="D35" s="57">
        <v>97.3</v>
      </c>
      <c r="E35" s="57">
        <v>83.3</v>
      </c>
      <c r="F35" s="57">
        <f t="shared" si="0"/>
        <v>8105.0899999999992</v>
      </c>
      <c r="G35" s="57">
        <v>110</v>
      </c>
      <c r="H35" s="57">
        <v>85</v>
      </c>
      <c r="I35" s="57">
        <f t="shared" si="1"/>
        <v>9350</v>
      </c>
      <c r="J35" s="63">
        <f t="shared" si="4"/>
        <v>0.15359607357845517</v>
      </c>
      <c r="K35" s="64">
        <f t="shared" si="5"/>
        <v>3820.7101956918436</v>
      </c>
      <c r="L35" s="62" t="s">
        <v>14</v>
      </c>
      <c r="M35" s="57">
        <v>0.78</v>
      </c>
      <c r="N35" s="62" t="s">
        <v>108</v>
      </c>
      <c r="O35" s="420"/>
    </row>
    <row r="36" spans="1:16" hidden="1">
      <c r="A36" s="57">
        <v>2</v>
      </c>
      <c r="B36" s="62" t="s">
        <v>107</v>
      </c>
      <c r="C36" s="57">
        <v>2954</v>
      </c>
      <c r="D36" s="57">
        <v>86.8</v>
      </c>
      <c r="E36" s="57">
        <v>83.3</v>
      </c>
      <c r="F36" s="57">
        <f t="shared" si="0"/>
        <v>7230.44</v>
      </c>
      <c r="G36" s="57">
        <v>100</v>
      </c>
      <c r="H36" s="57">
        <v>65</v>
      </c>
      <c r="I36" s="57">
        <f t="shared" si="1"/>
        <v>6500</v>
      </c>
      <c r="J36" s="63">
        <f t="shared" si="4"/>
        <v>-0.10102289763831795</v>
      </c>
      <c r="K36" s="64">
        <f t="shared" si="5"/>
        <v>2655.5783603764089</v>
      </c>
      <c r="L36" s="62" t="s">
        <v>14</v>
      </c>
      <c r="M36" s="57"/>
      <c r="N36" s="65"/>
      <c r="O36" s="420"/>
    </row>
    <row r="37" spans="1:16">
      <c r="A37" s="51">
        <v>1</v>
      </c>
      <c r="B37" s="74" t="s">
        <v>109</v>
      </c>
      <c r="C37" s="51">
        <v>6404</v>
      </c>
      <c r="D37" s="51">
        <v>61.1</v>
      </c>
      <c r="E37" s="51">
        <v>163</v>
      </c>
      <c r="F37" s="51">
        <f t="shared" si="0"/>
        <v>9959.3000000000011</v>
      </c>
      <c r="G37" s="51">
        <v>184</v>
      </c>
      <c r="H37" s="51">
        <f>D37</f>
        <v>61.1</v>
      </c>
      <c r="I37" s="51">
        <f t="shared" si="1"/>
        <v>11242.4</v>
      </c>
      <c r="J37" s="72">
        <f t="shared" si="4"/>
        <v>0.12883435582822078</v>
      </c>
      <c r="K37" s="73">
        <f t="shared" si="5"/>
        <v>7229.0552147239259</v>
      </c>
      <c r="L37" s="74" t="s">
        <v>14</v>
      </c>
      <c r="M37" s="51">
        <v>0.78</v>
      </c>
      <c r="N37" s="74"/>
      <c r="O37" s="417" t="s">
        <v>110</v>
      </c>
    </row>
    <row r="38" spans="1:16" hidden="1">
      <c r="A38" s="51">
        <v>2</v>
      </c>
      <c r="B38" s="74" t="s">
        <v>109</v>
      </c>
      <c r="C38" s="51">
        <v>6404</v>
      </c>
      <c r="D38" s="51">
        <v>61.1</v>
      </c>
      <c r="E38" s="51">
        <v>163</v>
      </c>
      <c r="F38" s="51">
        <f t="shared" si="0"/>
        <v>9959.3000000000011</v>
      </c>
      <c r="G38" s="51">
        <v>184</v>
      </c>
      <c r="H38" s="52">
        <v>50</v>
      </c>
      <c r="I38" s="51">
        <f t="shared" si="1"/>
        <v>9200</v>
      </c>
      <c r="J38" s="72">
        <f t="shared" si="4"/>
        <v>-7.6240298012912655E-2</v>
      </c>
      <c r="K38" s="73">
        <f t="shared" si="5"/>
        <v>5915.7571315253072</v>
      </c>
      <c r="L38" s="74" t="s">
        <v>14</v>
      </c>
      <c r="M38" s="52"/>
      <c r="N38" s="56"/>
      <c r="O38" s="432"/>
    </row>
    <row r="39" spans="1:16">
      <c r="A39" s="464">
        <v>1</v>
      </c>
      <c r="B39" s="412" t="s">
        <v>111</v>
      </c>
      <c r="C39" s="464">
        <v>2453</v>
      </c>
      <c r="D39" s="464">
        <v>28</v>
      </c>
      <c r="E39" s="464">
        <v>203</v>
      </c>
      <c r="F39" s="464">
        <f t="shared" si="0"/>
        <v>5684</v>
      </c>
      <c r="G39" s="464">
        <v>240</v>
      </c>
      <c r="H39" s="464">
        <f>D39</f>
        <v>28</v>
      </c>
      <c r="I39" s="464">
        <f t="shared" si="1"/>
        <v>6720</v>
      </c>
      <c r="J39" s="465">
        <f t="shared" si="4"/>
        <v>0.18226600985221686</v>
      </c>
      <c r="K39" s="466">
        <f t="shared" si="5"/>
        <v>2900.0985221674878</v>
      </c>
      <c r="L39" s="412" t="s">
        <v>14</v>
      </c>
      <c r="M39" s="464">
        <v>0.81</v>
      </c>
      <c r="N39" s="412" t="s">
        <v>112</v>
      </c>
      <c r="O39" s="421" t="s">
        <v>113</v>
      </c>
      <c r="P39" s="30"/>
    </row>
    <row r="40" spans="1:16" ht="27.95" hidden="1">
      <c r="A40" s="464">
        <v>2</v>
      </c>
      <c r="B40" s="412" t="s">
        <v>111</v>
      </c>
      <c r="C40" s="464">
        <v>2453</v>
      </c>
      <c r="D40" s="464">
        <v>28</v>
      </c>
      <c r="E40" s="464">
        <v>203</v>
      </c>
      <c r="F40" s="464">
        <f t="shared" si="0"/>
        <v>5684</v>
      </c>
      <c r="G40" s="464">
        <v>240</v>
      </c>
      <c r="H40" s="464">
        <v>27.7</v>
      </c>
      <c r="I40" s="464">
        <f t="shared" si="1"/>
        <v>6648</v>
      </c>
      <c r="J40" s="465">
        <f t="shared" si="4"/>
        <v>0.1695988740323715</v>
      </c>
      <c r="K40" s="466">
        <f t="shared" si="5"/>
        <v>2869.0260380014074</v>
      </c>
      <c r="L40" s="412" t="s">
        <v>14</v>
      </c>
      <c r="M40" s="464"/>
      <c r="N40" s="412" t="s">
        <v>112</v>
      </c>
      <c r="O40" s="421" t="s">
        <v>114</v>
      </c>
      <c r="P40" s="30"/>
    </row>
    <row r="41" spans="1:16" s="456" customFormat="1" ht="27.95" hidden="1">
      <c r="A41" s="540"/>
      <c r="B41" s="541" t="s">
        <v>115</v>
      </c>
      <c r="C41" s="540">
        <v>782</v>
      </c>
      <c r="D41" s="540">
        <v>89</v>
      </c>
      <c r="E41" s="540">
        <v>8.4600000000000009</v>
      </c>
      <c r="F41" s="540">
        <f t="shared" si="0"/>
        <v>752.94</v>
      </c>
      <c r="G41" s="540">
        <v>15</v>
      </c>
      <c r="H41" s="540">
        <v>60</v>
      </c>
      <c r="I41" s="540">
        <f t="shared" si="1"/>
        <v>900</v>
      </c>
      <c r="J41" s="542">
        <f t="shared" si="4"/>
        <v>0.19531436767869947</v>
      </c>
      <c r="K41" s="543">
        <f t="shared" si="5"/>
        <v>934.73583552474304</v>
      </c>
      <c r="L41" s="541" t="s">
        <v>14</v>
      </c>
      <c r="M41" s="540"/>
      <c r="N41" s="541"/>
      <c r="O41" s="544" t="s">
        <v>116</v>
      </c>
      <c r="P41" s="545"/>
    </row>
    <row r="42" spans="1:16" s="456" customFormat="1" ht="27.95" hidden="1">
      <c r="A42" s="540"/>
      <c r="B42" s="541" t="s">
        <v>115</v>
      </c>
      <c r="C42" s="540">
        <v>782</v>
      </c>
      <c r="D42" s="540">
        <v>89</v>
      </c>
      <c r="E42" s="540">
        <v>8.4600000000000009</v>
      </c>
      <c r="F42" s="540">
        <f t="shared" si="0"/>
        <v>752.94</v>
      </c>
      <c r="G42" s="540">
        <v>15</v>
      </c>
      <c r="H42" s="540">
        <v>60</v>
      </c>
      <c r="I42" s="540">
        <f t="shared" si="1"/>
        <v>900</v>
      </c>
      <c r="J42" s="542">
        <f t="shared" si="4"/>
        <v>0.19531436767869947</v>
      </c>
      <c r="K42" s="543">
        <f t="shared" si="5"/>
        <v>934.73583552474304</v>
      </c>
      <c r="L42" s="541" t="s">
        <v>14</v>
      </c>
      <c r="M42" s="540"/>
      <c r="N42" s="541"/>
      <c r="O42" s="544"/>
      <c r="P42" s="545"/>
    </row>
    <row r="43" spans="1:16">
      <c r="A43" s="467">
        <v>1</v>
      </c>
      <c r="B43" s="248" t="s">
        <v>117</v>
      </c>
      <c r="C43" s="250">
        <v>241</v>
      </c>
      <c r="D43" s="250">
        <v>54.2</v>
      </c>
      <c r="E43" s="250">
        <v>10</v>
      </c>
      <c r="F43" s="250">
        <f t="shared" si="0"/>
        <v>542</v>
      </c>
      <c r="G43" s="250">
        <v>12</v>
      </c>
      <c r="H43" s="250">
        <f>D43</f>
        <v>54.2</v>
      </c>
      <c r="I43" s="250">
        <f t="shared" si="1"/>
        <v>650.40000000000009</v>
      </c>
      <c r="J43" s="468">
        <f t="shared" si="4"/>
        <v>0.20000000000000018</v>
      </c>
      <c r="K43" s="469">
        <f t="shared" si="5"/>
        <v>289.20000000000005</v>
      </c>
      <c r="L43" s="249" t="s">
        <v>14</v>
      </c>
      <c r="M43" s="250"/>
      <c r="N43" s="250"/>
      <c r="P43" s="30"/>
    </row>
    <row r="44" spans="1:16" hidden="1">
      <c r="A44" s="467">
        <v>2</v>
      </c>
      <c r="B44" s="248" t="s">
        <v>117</v>
      </c>
      <c r="C44" s="250">
        <v>241</v>
      </c>
      <c r="D44" s="250">
        <v>54.2</v>
      </c>
      <c r="E44" s="250">
        <v>10</v>
      </c>
      <c r="F44" s="250">
        <f t="shared" si="0"/>
        <v>542</v>
      </c>
      <c r="G44" s="250">
        <v>12</v>
      </c>
      <c r="H44" s="250">
        <v>61</v>
      </c>
      <c r="I44" s="250">
        <f t="shared" si="1"/>
        <v>732</v>
      </c>
      <c r="J44" s="468">
        <f t="shared" si="4"/>
        <v>0.35055350553505527</v>
      </c>
      <c r="K44" s="469">
        <f t="shared" si="5"/>
        <v>325.4833948339483</v>
      </c>
      <c r="L44" s="250"/>
      <c r="M44" s="250"/>
      <c r="N44" s="250"/>
      <c r="P44" s="30"/>
    </row>
    <row r="45" spans="1:16" ht="121.35" customHeight="1">
      <c r="A45" s="179">
        <v>1</v>
      </c>
      <c r="B45" s="176" t="s">
        <v>118</v>
      </c>
      <c r="C45" s="179">
        <v>1058</v>
      </c>
      <c r="D45" s="179">
        <v>15.4</v>
      </c>
      <c r="E45" s="179">
        <v>936</v>
      </c>
      <c r="F45" s="179">
        <f t="shared" si="0"/>
        <v>14414.4</v>
      </c>
      <c r="G45" s="179">
        <v>1160</v>
      </c>
      <c r="H45" s="179">
        <v>16</v>
      </c>
      <c r="I45" s="179">
        <f t="shared" si="1"/>
        <v>18560</v>
      </c>
      <c r="J45" s="470">
        <f t="shared" si="4"/>
        <v>0.28760128760128767</v>
      </c>
      <c r="K45" s="471">
        <f t="shared" si="5"/>
        <v>1362.2821622821623</v>
      </c>
      <c r="L45" s="179"/>
      <c r="M45" s="179">
        <v>0.66</v>
      </c>
      <c r="N45" s="179"/>
      <c r="O45" s="422" t="s">
        <v>119</v>
      </c>
      <c r="P45" s="179" t="s">
        <v>120</v>
      </c>
    </row>
    <row r="46" spans="1:16" s="180" customFormat="1" ht="79.349999999999994" hidden="1" customHeight="1">
      <c r="A46" s="179">
        <v>2</v>
      </c>
      <c r="B46" s="176" t="s">
        <v>118</v>
      </c>
      <c r="C46" s="179">
        <v>1058</v>
      </c>
      <c r="D46" s="179">
        <v>15.4</v>
      </c>
      <c r="E46" s="179">
        <v>936</v>
      </c>
      <c r="F46" s="179">
        <f t="shared" si="0"/>
        <v>14414.4</v>
      </c>
      <c r="G46" s="179">
        <v>1000</v>
      </c>
      <c r="H46" s="179">
        <v>29.7</v>
      </c>
      <c r="I46" s="179">
        <f t="shared" si="1"/>
        <v>29700</v>
      </c>
      <c r="J46" s="470">
        <f t="shared" si="4"/>
        <v>1.0604395604395607</v>
      </c>
      <c r="K46" s="471">
        <f t="shared" si="5"/>
        <v>2179.9450549450553</v>
      </c>
      <c r="L46" s="179"/>
      <c r="M46" s="179">
        <v>1.1499999999999999</v>
      </c>
      <c r="N46" s="179"/>
      <c r="O46" s="423" t="s">
        <v>121</v>
      </c>
      <c r="P46" s="546" t="s">
        <v>122</v>
      </c>
    </row>
    <row r="47" spans="1:16" ht="42">
      <c r="A47" s="71">
        <v>1</v>
      </c>
      <c r="B47" s="69" t="s">
        <v>123</v>
      </c>
      <c r="C47" s="71">
        <v>910</v>
      </c>
      <c r="D47" s="71">
        <v>21.9</v>
      </c>
      <c r="E47" s="71">
        <v>132</v>
      </c>
      <c r="F47" s="71">
        <f t="shared" si="0"/>
        <v>2890.7999999999997</v>
      </c>
      <c r="G47" s="71">
        <v>200</v>
      </c>
      <c r="H47" s="71">
        <f>D47</f>
        <v>21.9</v>
      </c>
      <c r="I47" s="71">
        <f t="shared" si="1"/>
        <v>4380</v>
      </c>
      <c r="J47" s="472">
        <f t="shared" si="4"/>
        <v>0.51515151515151536</v>
      </c>
      <c r="K47" s="473">
        <f t="shared" si="5"/>
        <v>1378.787878787879</v>
      </c>
      <c r="L47" s="69" t="s">
        <v>14</v>
      </c>
      <c r="M47" s="71">
        <v>1</v>
      </c>
      <c r="N47" s="69"/>
      <c r="O47" s="693" t="s">
        <v>124</v>
      </c>
      <c r="P47" s="30"/>
    </row>
    <row r="48" spans="1:16" ht="27.95" hidden="1">
      <c r="A48" s="71">
        <v>2</v>
      </c>
      <c r="B48" s="69" t="s">
        <v>123</v>
      </c>
      <c r="C48" s="71">
        <v>910</v>
      </c>
      <c r="D48" s="71">
        <v>21.9</v>
      </c>
      <c r="E48" s="71">
        <v>132</v>
      </c>
      <c r="F48" s="71">
        <f t="shared" si="0"/>
        <v>2890.7999999999997</v>
      </c>
      <c r="G48" s="71">
        <v>200</v>
      </c>
      <c r="H48" s="71">
        <v>28.2</v>
      </c>
      <c r="I48" s="71">
        <f t="shared" si="1"/>
        <v>5640</v>
      </c>
      <c r="J48" s="472">
        <f t="shared" si="4"/>
        <v>0.95101701951017037</v>
      </c>
      <c r="K48" s="473">
        <f t="shared" si="5"/>
        <v>1775.4254877542551</v>
      </c>
      <c r="L48" s="69" t="s">
        <v>14</v>
      </c>
      <c r="M48" s="71"/>
      <c r="N48" s="71"/>
      <c r="O48" s="424" t="s">
        <v>125</v>
      </c>
      <c r="P48" s="30"/>
    </row>
    <row r="49" spans="1:16" ht="146.85" customHeight="1">
      <c r="A49" s="253">
        <v>1</v>
      </c>
      <c r="B49" s="252" t="s">
        <v>126</v>
      </c>
      <c r="C49" s="253">
        <v>820</v>
      </c>
      <c r="D49" s="253">
        <v>49.7</v>
      </c>
      <c r="E49" s="253">
        <v>26.1</v>
      </c>
      <c r="F49" s="253">
        <f t="shared" si="0"/>
        <v>1297.17</v>
      </c>
      <c r="G49" s="253">
        <v>35</v>
      </c>
      <c r="H49" s="253">
        <f>D49</f>
        <v>49.7</v>
      </c>
      <c r="I49" s="253">
        <f t="shared" si="1"/>
        <v>1739.5</v>
      </c>
      <c r="J49" s="474">
        <f t="shared" si="4"/>
        <v>0.34099616858237547</v>
      </c>
      <c r="K49" s="475">
        <f t="shared" si="5"/>
        <v>1099.6168582375478</v>
      </c>
      <c r="L49" s="252" t="s">
        <v>14</v>
      </c>
      <c r="M49" s="253">
        <v>0.43</v>
      </c>
      <c r="N49" s="252" t="s">
        <v>127</v>
      </c>
      <c r="O49" s="425" t="s">
        <v>128</v>
      </c>
      <c r="P49" s="30" t="s">
        <v>129</v>
      </c>
    </row>
    <row r="50" spans="1:16" hidden="1">
      <c r="A50" s="253">
        <v>2</v>
      </c>
      <c r="B50" s="252" t="s">
        <v>126</v>
      </c>
      <c r="C50" s="253">
        <v>823</v>
      </c>
      <c r="D50" s="253">
        <v>49.7</v>
      </c>
      <c r="E50" s="253">
        <v>26.1</v>
      </c>
      <c r="F50" s="253">
        <f t="shared" si="0"/>
        <v>1297.17</v>
      </c>
      <c r="G50" s="253">
        <v>30</v>
      </c>
      <c r="H50" s="253">
        <v>61.3</v>
      </c>
      <c r="I50" s="253">
        <f t="shared" si="1"/>
        <v>1839</v>
      </c>
      <c r="J50" s="474">
        <f t="shared" si="4"/>
        <v>0.41770161197067446</v>
      </c>
      <c r="K50" s="475">
        <f t="shared" si="5"/>
        <v>1166.7684266518652</v>
      </c>
      <c r="L50" s="253"/>
      <c r="M50" s="253">
        <v>0.38</v>
      </c>
      <c r="N50" s="253"/>
      <c r="O50" s="426"/>
      <c r="P50" s="30"/>
    </row>
    <row r="51" spans="1:16" s="52" customFormat="1" ht="109.35" customHeight="1">
      <c r="A51" s="75">
        <v>1</v>
      </c>
      <c r="B51" s="74" t="s">
        <v>130</v>
      </c>
      <c r="C51" s="75">
        <v>829</v>
      </c>
      <c r="D51" s="75">
        <v>77</v>
      </c>
      <c r="E51" s="75">
        <v>47.8</v>
      </c>
      <c r="F51" s="75">
        <f t="shared" si="0"/>
        <v>3680.6</v>
      </c>
      <c r="G51" s="75">
        <v>77</v>
      </c>
      <c r="H51" s="75">
        <v>81</v>
      </c>
      <c r="I51" s="75">
        <f t="shared" si="1"/>
        <v>6237</v>
      </c>
      <c r="J51" s="168">
        <f t="shared" si="4"/>
        <v>0.69456066945606709</v>
      </c>
      <c r="K51" s="169">
        <f t="shared" si="5"/>
        <v>1404.7907949790797</v>
      </c>
      <c r="L51" s="74" t="s">
        <v>14</v>
      </c>
      <c r="M51" s="75">
        <v>0.8</v>
      </c>
      <c r="N51" s="75"/>
      <c r="O51" s="419" t="s">
        <v>131</v>
      </c>
      <c r="P51" s="56"/>
    </row>
    <row r="52" spans="1:16" s="52" customFormat="1" ht="85.35" hidden="1" customHeight="1">
      <c r="A52" s="75">
        <v>2</v>
      </c>
      <c r="B52" s="74" t="s">
        <v>132</v>
      </c>
      <c r="C52" s="75">
        <v>829</v>
      </c>
      <c r="D52" s="75">
        <v>77</v>
      </c>
      <c r="E52" s="75">
        <v>47.8</v>
      </c>
      <c r="F52" s="75">
        <f t="shared" si="0"/>
        <v>3680.6</v>
      </c>
      <c r="G52" s="75">
        <v>84</v>
      </c>
      <c r="H52" s="75">
        <v>81</v>
      </c>
      <c r="I52" s="75">
        <f t="shared" si="1"/>
        <v>6804</v>
      </c>
      <c r="J52" s="168">
        <f t="shared" si="4"/>
        <v>0.84861163940661855</v>
      </c>
      <c r="K52" s="169">
        <f t="shared" si="5"/>
        <v>1532.4990490680868</v>
      </c>
      <c r="L52" s="75"/>
      <c r="M52" s="75"/>
      <c r="N52" s="75"/>
      <c r="O52" s="419" t="s">
        <v>133</v>
      </c>
      <c r="P52" s="56"/>
    </row>
    <row r="53" spans="1:16">
      <c r="A53" s="71">
        <v>1</v>
      </c>
      <c r="B53" s="69" t="s">
        <v>134</v>
      </c>
      <c r="C53" s="30">
        <v>269</v>
      </c>
      <c r="D53" s="30">
        <v>30.4</v>
      </c>
      <c r="E53" s="30">
        <v>8.57</v>
      </c>
      <c r="F53" s="30">
        <f t="shared" si="0"/>
        <v>260.52800000000002</v>
      </c>
      <c r="G53" s="30">
        <v>12</v>
      </c>
      <c r="H53" s="30">
        <f>D53</f>
        <v>30.4</v>
      </c>
      <c r="I53" s="30">
        <f t="shared" si="1"/>
        <v>364.79999999999995</v>
      </c>
      <c r="J53" s="476">
        <f t="shared" si="4"/>
        <v>0.40023337222870459</v>
      </c>
      <c r="K53" s="477">
        <f t="shared" si="5"/>
        <v>376.66277712952154</v>
      </c>
      <c r="M53" s="30"/>
      <c r="N53" s="29" t="s">
        <v>35</v>
      </c>
      <c r="P53" s="30"/>
    </row>
    <row r="54" spans="1:16" hidden="1">
      <c r="A54" s="71">
        <v>2</v>
      </c>
      <c r="B54" s="69" t="s">
        <v>134</v>
      </c>
      <c r="C54" s="30">
        <v>269</v>
      </c>
      <c r="D54" s="30">
        <v>30.4</v>
      </c>
      <c r="E54" s="30">
        <v>8.57</v>
      </c>
      <c r="F54" s="30">
        <f t="shared" si="0"/>
        <v>260.52800000000002</v>
      </c>
      <c r="G54" s="30">
        <v>12</v>
      </c>
      <c r="H54" s="30">
        <v>34.5</v>
      </c>
      <c r="I54" s="30">
        <f t="shared" si="1"/>
        <v>414</v>
      </c>
      <c r="J54" s="476">
        <f t="shared" si="4"/>
        <v>0.58908063624639184</v>
      </c>
      <c r="K54" s="477">
        <f t="shared" si="5"/>
        <v>427.4626911502794</v>
      </c>
      <c r="M54" s="30"/>
      <c r="P54" s="30"/>
    </row>
    <row r="55" spans="1:16" ht="42">
      <c r="A55" s="75">
        <v>1</v>
      </c>
      <c r="B55" s="74" t="s">
        <v>135</v>
      </c>
      <c r="C55" s="75">
        <v>2000</v>
      </c>
      <c r="D55" s="75">
        <v>45.3</v>
      </c>
      <c r="E55" s="75">
        <v>46.9</v>
      </c>
      <c r="F55" s="75">
        <f t="shared" si="0"/>
        <v>2124.5699999999997</v>
      </c>
      <c r="G55" s="75">
        <v>60</v>
      </c>
      <c r="H55" s="75">
        <f>D55</f>
        <v>45.3</v>
      </c>
      <c r="I55" s="75">
        <f t="shared" si="1"/>
        <v>2718</v>
      </c>
      <c r="J55" s="168">
        <f t="shared" si="4"/>
        <v>0.27931769722814526</v>
      </c>
      <c r="K55" s="169">
        <f t="shared" si="5"/>
        <v>2558.6353944562907</v>
      </c>
      <c r="L55" s="74" t="s">
        <v>47</v>
      </c>
      <c r="M55" s="75"/>
      <c r="N55" s="74" t="s">
        <v>136</v>
      </c>
      <c r="O55" s="419"/>
      <c r="P55" s="30"/>
    </row>
    <row r="56" spans="1:16" ht="44.1" hidden="1" customHeight="1">
      <c r="A56" s="75">
        <v>2</v>
      </c>
      <c r="B56" s="74" t="s">
        <v>135</v>
      </c>
      <c r="C56" s="75">
        <v>2000</v>
      </c>
      <c r="D56" s="75">
        <v>45.3</v>
      </c>
      <c r="E56" s="75">
        <v>46.9</v>
      </c>
      <c r="F56" s="75">
        <f t="shared" si="0"/>
        <v>2124.5699999999997</v>
      </c>
      <c r="G56" s="75">
        <v>60</v>
      </c>
      <c r="H56" s="75">
        <v>61.8</v>
      </c>
      <c r="I56" s="75">
        <f t="shared" si="1"/>
        <v>3708</v>
      </c>
      <c r="J56" s="168">
        <f t="shared" si="4"/>
        <v>0.74529434191389332</v>
      </c>
      <c r="K56" s="169">
        <f t="shared" si="5"/>
        <v>3490.5886838277866</v>
      </c>
      <c r="L56" s="74" t="s">
        <v>48</v>
      </c>
      <c r="M56" s="75">
        <f>2.9 + 0.28</f>
        <v>3.1799999999999997</v>
      </c>
      <c r="N56" s="75"/>
      <c r="O56" s="419"/>
      <c r="P56" s="30"/>
    </row>
    <row r="57" spans="1:16">
      <c r="A57" s="449">
        <v>1</v>
      </c>
      <c r="B57" s="234" t="s">
        <v>137</v>
      </c>
      <c r="C57" s="449">
        <v>4238</v>
      </c>
      <c r="D57" s="449">
        <v>60.2</v>
      </c>
      <c r="E57" s="449">
        <v>222</v>
      </c>
      <c r="F57" s="449">
        <f t="shared" si="0"/>
        <v>13364.400000000001</v>
      </c>
      <c r="G57" s="449">
        <v>231</v>
      </c>
      <c r="H57" s="449">
        <f>D57</f>
        <v>60.2</v>
      </c>
      <c r="I57" s="449">
        <f t="shared" si="1"/>
        <v>13906.2</v>
      </c>
      <c r="J57" s="478">
        <f t="shared" si="4"/>
        <v>4.0540540540540571E-2</v>
      </c>
      <c r="K57" s="479">
        <f t="shared" si="5"/>
        <v>4409.8108108108108</v>
      </c>
      <c r="L57" s="234" t="s">
        <v>47</v>
      </c>
      <c r="M57" s="449"/>
      <c r="N57" s="449"/>
      <c r="O57" s="450" t="s">
        <v>138</v>
      </c>
      <c r="P57" s="30"/>
    </row>
    <row r="58" spans="1:16" ht="27.95" hidden="1">
      <c r="A58" s="449">
        <v>2</v>
      </c>
      <c r="B58" s="234" t="s">
        <v>137</v>
      </c>
      <c r="C58" s="449">
        <v>4238</v>
      </c>
      <c r="D58" s="449">
        <v>60.2</v>
      </c>
      <c r="E58" s="449">
        <v>222</v>
      </c>
      <c r="F58" s="449">
        <f t="shared" si="0"/>
        <v>13364.400000000001</v>
      </c>
      <c r="G58" s="449">
        <v>231</v>
      </c>
      <c r="H58" s="449">
        <f>D58</f>
        <v>60.2</v>
      </c>
      <c r="I58" s="449">
        <f t="shared" si="1"/>
        <v>13906.2</v>
      </c>
      <c r="J58" s="478">
        <f t="shared" si="4"/>
        <v>4.0540540540540571E-2</v>
      </c>
      <c r="K58" s="479">
        <f t="shared" si="5"/>
        <v>4409.8108108108108</v>
      </c>
      <c r="L58" s="234"/>
      <c r="M58" s="449"/>
      <c r="N58" s="449"/>
      <c r="O58" s="450" t="s">
        <v>139</v>
      </c>
      <c r="P58" s="30"/>
    </row>
    <row r="59" spans="1:16" ht="183.75" customHeight="1">
      <c r="A59" s="35">
        <v>1</v>
      </c>
      <c r="B59" s="34" t="s">
        <v>140</v>
      </c>
      <c r="C59" s="35">
        <v>921</v>
      </c>
      <c r="D59" s="35">
        <v>18</v>
      </c>
      <c r="E59" s="35">
        <v>880</v>
      </c>
      <c r="F59" s="35">
        <f t="shared" si="0"/>
        <v>15840</v>
      </c>
      <c r="G59" s="35">
        <v>1200</v>
      </c>
      <c r="H59" s="35">
        <f>D59</f>
        <v>18</v>
      </c>
      <c r="I59" s="35">
        <f t="shared" si="1"/>
        <v>21600</v>
      </c>
      <c r="J59" s="498">
        <f t="shared" si="4"/>
        <v>0.36363636363636354</v>
      </c>
      <c r="K59" s="499">
        <f t="shared" si="5"/>
        <v>1255.9090909090908</v>
      </c>
      <c r="L59" s="34" t="s">
        <v>14</v>
      </c>
      <c r="M59" s="35">
        <v>0.21</v>
      </c>
      <c r="N59" s="34" t="s">
        <v>141</v>
      </c>
      <c r="O59" s="462" t="s">
        <v>142</v>
      </c>
      <c r="P59" s="30"/>
    </row>
    <row r="60" spans="1:16" ht="27.95" hidden="1">
      <c r="A60" s="35">
        <v>2</v>
      </c>
      <c r="B60" s="34" t="s">
        <v>140</v>
      </c>
      <c r="C60" s="35">
        <v>921</v>
      </c>
      <c r="D60" s="35">
        <v>18</v>
      </c>
      <c r="E60" s="35">
        <v>880</v>
      </c>
      <c r="F60" s="35">
        <f t="shared" si="0"/>
        <v>15840</v>
      </c>
      <c r="G60" s="35">
        <v>1000</v>
      </c>
      <c r="H60" s="35">
        <v>19.5</v>
      </c>
      <c r="I60" s="35">
        <f t="shared" si="1"/>
        <v>19500</v>
      </c>
      <c r="J60" s="498">
        <f t="shared" si="4"/>
        <v>0.23106060606060597</v>
      </c>
      <c r="K60" s="499">
        <f t="shared" si="5"/>
        <v>1133.806818181818</v>
      </c>
      <c r="L60" s="34" t="s">
        <v>14</v>
      </c>
      <c r="M60" s="35">
        <v>1.64</v>
      </c>
      <c r="N60" s="35"/>
      <c r="O60" s="462" t="s">
        <v>143</v>
      </c>
      <c r="P60" s="30"/>
    </row>
    <row r="61" spans="1:16" ht="94.35" customHeight="1">
      <c r="A61" s="49">
        <v>1</v>
      </c>
      <c r="B61" s="69" t="s">
        <v>144</v>
      </c>
      <c r="C61" s="49">
        <v>439</v>
      </c>
      <c r="D61" s="49">
        <v>36.4</v>
      </c>
      <c r="E61" s="49">
        <v>50.5</v>
      </c>
      <c r="F61" s="49">
        <f t="shared" si="0"/>
        <v>1838.1999999999998</v>
      </c>
      <c r="G61" s="49">
        <v>58</v>
      </c>
      <c r="H61" s="49">
        <f>D61</f>
        <v>36.4</v>
      </c>
      <c r="I61" s="49">
        <f t="shared" si="1"/>
        <v>2111.1999999999998</v>
      </c>
      <c r="J61" s="67">
        <f t="shared" si="4"/>
        <v>0.14851485148514842</v>
      </c>
      <c r="K61" s="68">
        <f t="shared" si="5"/>
        <v>504.19801980198014</v>
      </c>
      <c r="L61" s="69" t="s">
        <v>14</v>
      </c>
      <c r="M61" s="49">
        <v>0.66</v>
      </c>
      <c r="N61" s="69" t="s">
        <v>58</v>
      </c>
      <c r="O61" s="424" t="s">
        <v>145</v>
      </c>
    </row>
    <row r="62" spans="1:16" ht="99.75" hidden="1" customHeight="1">
      <c r="A62" s="49">
        <v>2</v>
      </c>
      <c r="B62" s="69" t="s">
        <v>144</v>
      </c>
      <c r="C62" s="49">
        <v>439</v>
      </c>
      <c r="D62" s="49">
        <v>36.4</v>
      </c>
      <c r="E62" s="49">
        <v>50.5</v>
      </c>
      <c r="F62" s="49">
        <f t="shared" si="0"/>
        <v>1838.1999999999998</v>
      </c>
      <c r="G62" s="49">
        <v>58</v>
      </c>
      <c r="H62" s="49">
        <v>46.2</v>
      </c>
      <c r="I62" s="49">
        <f t="shared" si="1"/>
        <v>2679.6000000000004</v>
      </c>
      <c r="J62" s="67">
        <f t="shared" si="4"/>
        <v>0.45773038842345803</v>
      </c>
      <c r="K62" s="68">
        <f t="shared" si="5"/>
        <v>639.94364051789807</v>
      </c>
      <c r="L62" s="69" t="s">
        <v>14</v>
      </c>
      <c r="M62" s="49"/>
      <c r="N62" s="71"/>
      <c r="O62" s="424" t="s">
        <v>146</v>
      </c>
    </row>
    <row r="63" spans="1:16" ht="29.1">
      <c r="A63" s="175">
        <v>1</v>
      </c>
      <c r="B63" s="176" t="s">
        <v>147</v>
      </c>
      <c r="C63" s="175">
        <v>340</v>
      </c>
      <c r="D63" s="175">
        <v>31</v>
      </c>
      <c r="E63" s="175">
        <v>13.2</v>
      </c>
      <c r="F63" s="175">
        <f t="shared" si="0"/>
        <v>409.2</v>
      </c>
      <c r="G63" s="175">
        <v>17</v>
      </c>
      <c r="H63" s="175">
        <f>D63</f>
        <v>31</v>
      </c>
      <c r="I63" s="175">
        <f t="shared" si="1"/>
        <v>527</v>
      </c>
      <c r="J63" s="177">
        <f t="shared" si="4"/>
        <v>0.28787878787878785</v>
      </c>
      <c r="K63" s="178">
        <f t="shared" si="5"/>
        <v>437.87878787878788</v>
      </c>
      <c r="L63" s="179"/>
      <c r="M63" s="175">
        <v>1.07</v>
      </c>
      <c r="N63" s="176"/>
      <c r="O63" s="427" t="s">
        <v>148</v>
      </c>
    </row>
    <row r="64" spans="1:16" ht="72.599999999999994" hidden="1">
      <c r="A64" s="175">
        <v>2</v>
      </c>
      <c r="B64" s="176" t="s">
        <v>147</v>
      </c>
      <c r="C64" s="175">
        <v>354</v>
      </c>
      <c r="D64" s="175">
        <v>32.299999999999997</v>
      </c>
      <c r="E64" s="175">
        <v>13.2</v>
      </c>
      <c r="F64" s="175">
        <f t="shared" si="0"/>
        <v>426.35999999999996</v>
      </c>
      <c r="G64" s="175">
        <v>17</v>
      </c>
      <c r="H64" s="175">
        <v>28</v>
      </c>
      <c r="I64" s="175">
        <f t="shared" si="1"/>
        <v>476</v>
      </c>
      <c r="J64" s="177">
        <f t="shared" si="4"/>
        <v>0.1164274322169061</v>
      </c>
      <c r="K64" s="178">
        <f t="shared" si="5"/>
        <v>395.21531100478478</v>
      </c>
      <c r="L64" s="176" t="s">
        <v>48</v>
      </c>
      <c r="M64" s="175">
        <v>1.86</v>
      </c>
      <c r="N64" s="179"/>
      <c r="O64" s="427" t="s">
        <v>149</v>
      </c>
    </row>
    <row r="65" spans="1:15" ht="56.1">
      <c r="A65" s="51">
        <v>1</v>
      </c>
      <c r="B65" s="76" t="s">
        <v>150</v>
      </c>
      <c r="C65" s="51">
        <v>823</v>
      </c>
      <c r="D65" s="51">
        <v>115</v>
      </c>
      <c r="E65" s="51">
        <v>9.7899999999999991</v>
      </c>
      <c r="F65" s="51">
        <f t="shared" si="0"/>
        <v>1125.8499999999999</v>
      </c>
      <c r="G65" s="51">
        <v>14</v>
      </c>
      <c r="H65" s="51">
        <f>D65</f>
        <v>115</v>
      </c>
      <c r="I65" s="51">
        <f t="shared" si="1"/>
        <v>1610</v>
      </c>
      <c r="J65" s="72">
        <f t="shared" si="4"/>
        <v>0.43003064351378972</v>
      </c>
      <c r="K65" s="73">
        <f t="shared" si="5"/>
        <v>1176.9152196118489</v>
      </c>
      <c r="L65" s="75"/>
      <c r="M65" s="51"/>
      <c r="N65" s="74" t="s">
        <v>35</v>
      </c>
      <c r="O65" s="372" t="s">
        <v>151</v>
      </c>
    </row>
    <row r="66" spans="1:15" ht="69.95" hidden="1">
      <c r="A66" s="51">
        <v>2</v>
      </c>
      <c r="B66" s="76" t="s">
        <v>150</v>
      </c>
      <c r="C66" s="51">
        <v>823</v>
      </c>
      <c r="D66" s="51">
        <v>115</v>
      </c>
      <c r="E66" s="51">
        <v>9.7899999999999991</v>
      </c>
      <c r="F66" s="51">
        <f t="shared" si="0"/>
        <v>1125.8499999999999</v>
      </c>
      <c r="G66" s="51">
        <v>11</v>
      </c>
      <c r="H66" s="51">
        <v>140</v>
      </c>
      <c r="I66" s="51">
        <f t="shared" si="1"/>
        <v>1540</v>
      </c>
      <c r="J66" s="72">
        <f t="shared" si="4"/>
        <v>0.367855398143625</v>
      </c>
      <c r="K66" s="73">
        <f t="shared" si="5"/>
        <v>1125.7449926722034</v>
      </c>
      <c r="L66" s="75"/>
      <c r="M66" s="51"/>
      <c r="N66" s="75"/>
      <c r="O66" s="372" t="s">
        <v>152</v>
      </c>
    </row>
    <row r="67" spans="1:15" ht="27.95">
      <c r="A67" s="57">
        <v>1</v>
      </c>
      <c r="B67" s="62" t="s">
        <v>153</v>
      </c>
      <c r="C67" s="58">
        <v>211</v>
      </c>
      <c r="D67" s="58">
        <v>26.9</v>
      </c>
      <c r="E67" s="58">
        <v>303</v>
      </c>
      <c r="F67" s="58">
        <f t="shared" si="0"/>
        <v>8150.7</v>
      </c>
      <c r="G67" s="58">
        <v>311</v>
      </c>
      <c r="H67" s="58">
        <f>D67</f>
        <v>26.9</v>
      </c>
      <c r="I67" s="58">
        <f t="shared" si="1"/>
        <v>8365.9</v>
      </c>
      <c r="J67" s="59">
        <f t="shared" si="4"/>
        <v>2.6402640264026278E-2</v>
      </c>
      <c r="K67" s="60">
        <f t="shared" si="5"/>
        <v>216.57095709570953</v>
      </c>
      <c r="L67" s="359" t="s">
        <v>154</v>
      </c>
      <c r="M67" s="58"/>
      <c r="N67" s="359" t="s">
        <v>155</v>
      </c>
    </row>
    <row r="68" spans="1:15" hidden="1">
      <c r="A68" s="57">
        <v>2</v>
      </c>
      <c r="B68" s="62" t="s">
        <v>153</v>
      </c>
      <c r="C68" s="58">
        <v>201</v>
      </c>
      <c r="D68" s="58">
        <v>24.8</v>
      </c>
      <c r="E68" s="58">
        <v>303</v>
      </c>
      <c r="F68" s="58">
        <f t="shared" si="0"/>
        <v>7514.4000000000005</v>
      </c>
      <c r="G68" s="58">
        <v>311</v>
      </c>
      <c r="H68" s="58">
        <v>39</v>
      </c>
      <c r="I68" s="58">
        <f t="shared" si="1"/>
        <v>12129</v>
      </c>
      <c r="J68" s="59">
        <f t="shared" si="4"/>
        <v>0.61410092622165435</v>
      </c>
      <c r="K68" s="60">
        <f t="shared" si="5"/>
        <v>324.43428617055253</v>
      </c>
      <c r="L68" s="359"/>
      <c r="M68" s="58"/>
      <c r="N68" s="61"/>
    </row>
    <row r="69" spans="1:15" ht="27.95">
      <c r="A69" s="49">
        <v>1</v>
      </c>
      <c r="B69" s="69" t="s">
        <v>156</v>
      </c>
      <c r="C69" s="31">
        <v>50.3</v>
      </c>
      <c r="D69" s="31">
        <v>59.4</v>
      </c>
      <c r="E69" s="31">
        <v>5.13</v>
      </c>
      <c r="F69" s="31">
        <f t="shared" si="0"/>
        <v>304.72199999999998</v>
      </c>
      <c r="G69" s="31">
        <v>4.16</v>
      </c>
      <c r="H69" s="31">
        <f>D69</f>
        <v>59.4</v>
      </c>
      <c r="I69" s="31">
        <f t="shared" si="1"/>
        <v>247.10400000000001</v>
      </c>
      <c r="J69" s="32">
        <f t="shared" si="4"/>
        <v>-0.18908382066276797</v>
      </c>
      <c r="K69" s="33">
        <f t="shared" si="5"/>
        <v>40.789083820662768</v>
      </c>
      <c r="L69" s="29" t="s">
        <v>157</v>
      </c>
      <c r="N69" s="29" t="s">
        <v>155</v>
      </c>
    </row>
    <row r="70" spans="1:15" hidden="1">
      <c r="A70" s="49">
        <v>2</v>
      </c>
      <c r="B70" s="69" t="s">
        <v>156</v>
      </c>
      <c r="F70" s="31">
        <f t="shared" si="0"/>
        <v>0</v>
      </c>
      <c r="I70" s="31">
        <f t="shared" si="1"/>
        <v>0</v>
      </c>
      <c r="J70" s="32">
        <v>0</v>
      </c>
      <c r="K70" s="33"/>
    </row>
    <row r="71" spans="1:15">
      <c r="A71" s="49">
        <v>1</v>
      </c>
      <c r="B71" s="69" t="s">
        <v>158</v>
      </c>
      <c r="C71" s="31">
        <v>2312</v>
      </c>
      <c r="D71" s="31">
        <v>81.8</v>
      </c>
      <c r="E71" s="31">
        <v>54.3</v>
      </c>
      <c r="F71" s="31">
        <f t="shared" ref="F71:F76" si="6">D71*E71</f>
        <v>4441.74</v>
      </c>
      <c r="G71" s="31">
        <v>100</v>
      </c>
      <c r="H71" s="31">
        <f>D71</f>
        <v>81.8</v>
      </c>
      <c r="I71" s="31">
        <f t="shared" ref="I71:I76" si="7">G71*H71</f>
        <v>8180</v>
      </c>
      <c r="J71" s="32">
        <f t="shared" ref="J71:J76" si="8">I71/F71-1</f>
        <v>0.84162062615101307</v>
      </c>
      <c r="K71" s="33">
        <f t="shared" ref="K71:K76" si="9">C71*(1+J71)</f>
        <v>4257.8268876611419</v>
      </c>
      <c r="L71" s="29" t="s">
        <v>14</v>
      </c>
    </row>
    <row r="72" spans="1:15" hidden="1">
      <c r="A72" s="49">
        <v>2</v>
      </c>
      <c r="B72" s="69" t="s">
        <v>158</v>
      </c>
      <c r="C72" s="31">
        <v>2312</v>
      </c>
      <c r="D72" s="31">
        <v>81.8</v>
      </c>
      <c r="E72" s="31">
        <v>54.3</v>
      </c>
      <c r="F72" s="31">
        <f t="shared" si="6"/>
        <v>4441.74</v>
      </c>
      <c r="G72" s="31">
        <v>100</v>
      </c>
      <c r="H72" s="31">
        <v>85.5</v>
      </c>
      <c r="I72" s="31">
        <f t="shared" si="7"/>
        <v>8550</v>
      </c>
      <c r="J72" s="32">
        <f t="shared" si="8"/>
        <v>0.92492131461994642</v>
      </c>
      <c r="K72" s="33">
        <f t="shared" si="9"/>
        <v>4450.4180794013164</v>
      </c>
      <c r="L72" s="29" t="s">
        <v>14</v>
      </c>
    </row>
    <row r="73" spans="1:15" ht="42">
      <c r="A73" s="49">
        <v>1</v>
      </c>
      <c r="B73" s="69" t="s">
        <v>159</v>
      </c>
      <c r="C73" s="31">
        <v>935</v>
      </c>
      <c r="D73" s="31">
        <v>32.700000000000003</v>
      </c>
      <c r="E73" s="31">
        <v>38.200000000000003</v>
      </c>
      <c r="F73" s="31">
        <f t="shared" si="6"/>
        <v>1249.1400000000001</v>
      </c>
      <c r="G73" s="31">
        <v>45</v>
      </c>
      <c r="H73" s="31">
        <f>D73</f>
        <v>32.700000000000003</v>
      </c>
      <c r="I73" s="31">
        <f t="shared" si="7"/>
        <v>1471.5000000000002</v>
      </c>
      <c r="J73" s="32">
        <f t="shared" si="8"/>
        <v>0.17801047120418856</v>
      </c>
      <c r="K73" s="33">
        <f t="shared" si="9"/>
        <v>1101.4397905759163</v>
      </c>
      <c r="L73" s="29" t="s">
        <v>14</v>
      </c>
      <c r="N73" s="29" t="s">
        <v>35</v>
      </c>
    </row>
    <row r="74" spans="1:15" ht="42" hidden="1">
      <c r="A74" s="49">
        <v>2</v>
      </c>
      <c r="B74" s="69" t="s">
        <v>159</v>
      </c>
      <c r="C74" s="31">
        <v>935</v>
      </c>
      <c r="D74" s="31">
        <v>32.700000000000003</v>
      </c>
      <c r="E74" s="31">
        <v>38.200000000000003</v>
      </c>
      <c r="F74" s="31">
        <f t="shared" si="6"/>
        <v>1249.1400000000001</v>
      </c>
      <c r="G74" s="31">
        <v>45</v>
      </c>
      <c r="H74" s="31">
        <v>43.3</v>
      </c>
      <c r="I74" s="31">
        <f t="shared" si="7"/>
        <v>1948.4999999999998</v>
      </c>
      <c r="J74" s="32">
        <f t="shared" si="8"/>
        <v>0.55987319275661629</v>
      </c>
      <c r="K74" s="33">
        <f t="shared" si="9"/>
        <v>1458.4814352274361</v>
      </c>
      <c r="L74" s="29" t="s">
        <v>14</v>
      </c>
    </row>
    <row r="75" spans="1:15">
      <c r="A75" s="49">
        <v>1</v>
      </c>
      <c r="B75" s="69" t="s">
        <v>160</v>
      </c>
      <c r="C75" s="31">
        <v>73.5</v>
      </c>
      <c r="D75" s="31">
        <v>27.3</v>
      </c>
      <c r="E75" s="31">
        <v>85.6</v>
      </c>
      <c r="F75" s="31">
        <f t="shared" si="6"/>
        <v>2336.88</v>
      </c>
      <c r="G75" s="31">
        <v>110</v>
      </c>
      <c r="H75" s="31">
        <f>D75</f>
        <v>27.3</v>
      </c>
      <c r="I75" s="31">
        <f t="shared" si="7"/>
        <v>3003</v>
      </c>
      <c r="J75" s="32">
        <f t="shared" si="8"/>
        <v>0.28504672897196248</v>
      </c>
      <c r="K75" s="33">
        <f t="shared" si="9"/>
        <v>94.450934579439249</v>
      </c>
      <c r="L75" s="29" t="s">
        <v>14</v>
      </c>
      <c r="M75" s="31">
        <v>0.46</v>
      </c>
      <c r="N75" s="29" t="s">
        <v>161</v>
      </c>
    </row>
    <row r="76" spans="1:15" hidden="1">
      <c r="A76" s="49">
        <v>2</v>
      </c>
      <c r="B76" s="69" t="s">
        <v>160</v>
      </c>
      <c r="C76" s="31">
        <v>73.5</v>
      </c>
      <c r="D76" s="31">
        <v>27.3</v>
      </c>
      <c r="E76" s="31">
        <v>85.6</v>
      </c>
      <c r="F76" s="31">
        <f t="shared" si="6"/>
        <v>2336.88</v>
      </c>
      <c r="G76" s="31">
        <v>110</v>
      </c>
      <c r="H76" s="31">
        <v>38.700000000000003</v>
      </c>
      <c r="I76" s="31">
        <f t="shared" si="7"/>
        <v>4257</v>
      </c>
      <c r="J76" s="32">
        <f t="shared" si="8"/>
        <v>0.82165964876245234</v>
      </c>
      <c r="K76" s="33">
        <f t="shared" si="9"/>
        <v>133.89198418404024</v>
      </c>
      <c r="L76" s="29" t="s">
        <v>14</v>
      </c>
    </row>
    <row r="77" spans="1:15">
      <c r="A77" s="500">
        <v>1</v>
      </c>
      <c r="B77" s="501" t="s">
        <v>162</v>
      </c>
      <c r="C77" s="502">
        <v>734</v>
      </c>
      <c r="D77" s="502">
        <v>24.9</v>
      </c>
      <c r="E77" s="502">
        <v>87.4</v>
      </c>
      <c r="F77" s="502">
        <f>D77*E77</f>
        <v>2176.2600000000002</v>
      </c>
      <c r="G77" s="502">
        <v>96</v>
      </c>
      <c r="H77" s="502">
        <f>D77</f>
        <v>24.9</v>
      </c>
      <c r="I77" s="502">
        <f>G77*H77</f>
        <v>2390.3999999999996</v>
      </c>
      <c r="J77" s="503">
        <f>I77/F77-1</f>
        <v>9.8398169336384234E-2</v>
      </c>
      <c r="K77" s="504">
        <f>C77*(1+J77)</f>
        <v>806.22425629290603</v>
      </c>
      <c r="L77" s="505" t="s">
        <v>14</v>
      </c>
      <c r="M77" s="502"/>
      <c r="N77" s="506"/>
    </row>
    <row r="78" spans="1:15" hidden="1">
      <c r="A78" s="500">
        <v>2</v>
      </c>
      <c r="B78" s="501" t="s">
        <v>162</v>
      </c>
      <c r="C78" s="502">
        <v>734</v>
      </c>
      <c r="D78" s="502">
        <v>24.9</v>
      </c>
      <c r="E78" s="502">
        <v>87.4</v>
      </c>
      <c r="F78" s="502">
        <f>D78*E78</f>
        <v>2176.2600000000002</v>
      </c>
      <c r="G78" s="502">
        <v>96</v>
      </c>
      <c r="H78" s="502">
        <v>32.200000000000003</v>
      </c>
      <c r="I78" s="502">
        <f>G78*H78</f>
        <v>3091.2000000000003</v>
      </c>
      <c r="J78" s="503">
        <f>I78/F78-1</f>
        <v>0.42041851616994297</v>
      </c>
      <c r="K78" s="504">
        <f>C78*(1+J78)</f>
        <v>1042.5871908687382</v>
      </c>
      <c r="L78" s="506"/>
      <c r="M78" s="502">
        <v>0.13</v>
      </c>
      <c r="N78" s="506" t="s">
        <v>74</v>
      </c>
    </row>
    <row r="79" spans="1:15">
      <c r="A79" s="49">
        <v>1</v>
      </c>
      <c r="B79" s="69" t="s">
        <v>163</v>
      </c>
      <c r="C79" s="31">
        <v>1059</v>
      </c>
      <c r="D79" s="31">
        <v>87.9</v>
      </c>
      <c r="E79" s="31">
        <v>37.83</v>
      </c>
      <c r="F79" s="31">
        <f>D79*E79</f>
        <v>3325.2570000000001</v>
      </c>
      <c r="G79" s="31">
        <v>100</v>
      </c>
      <c r="H79" s="31">
        <f>D79</f>
        <v>87.9</v>
      </c>
      <c r="I79" s="31">
        <f>G79*H79</f>
        <v>8790</v>
      </c>
      <c r="J79" s="32">
        <f>I79/F79-1</f>
        <v>1.6434047052603753</v>
      </c>
      <c r="K79" s="33">
        <f>C79*(1+J79)</f>
        <v>2799.3655828707374</v>
      </c>
      <c r="L79" s="29" t="s">
        <v>14</v>
      </c>
    </row>
    <row r="80" spans="1:15" hidden="1">
      <c r="A80" s="49">
        <v>2</v>
      </c>
      <c r="B80" s="69" t="s">
        <v>163</v>
      </c>
      <c r="F80" s="31">
        <f>D80*E80</f>
        <v>0</v>
      </c>
      <c r="I80" s="31">
        <f>G80*H80</f>
        <v>0</v>
      </c>
      <c r="J80" s="32">
        <v>0</v>
      </c>
      <c r="K80" s="33"/>
    </row>
    <row r="81" spans="1:15">
      <c r="A81" s="337">
        <v>1</v>
      </c>
      <c r="B81" s="338" t="s">
        <v>164</v>
      </c>
      <c r="C81" s="337">
        <v>740</v>
      </c>
      <c r="D81" s="337">
        <v>49.5</v>
      </c>
      <c r="E81" s="337">
        <v>274</v>
      </c>
      <c r="F81" s="337">
        <f t="shared" ref="F81:F142" si="10">D81*E81</f>
        <v>13563</v>
      </c>
      <c r="G81" s="337">
        <v>287</v>
      </c>
      <c r="H81" s="337">
        <f>D81</f>
        <v>49.5</v>
      </c>
      <c r="I81" s="337">
        <f t="shared" ref="I81:I142" si="11">G81*H81</f>
        <v>14206.5</v>
      </c>
      <c r="J81" s="339">
        <f t="shared" ref="J81:J92" si="12">I81/F81-1</f>
        <v>4.7445255474452663E-2</v>
      </c>
      <c r="K81" s="340">
        <f>C81*(1+J81)</f>
        <v>775.10948905109501</v>
      </c>
      <c r="L81" s="338" t="s">
        <v>14</v>
      </c>
      <c r="M81" s="337">
        <v>0</v>
      </c>
      <c r="N81" s="338" t="s">
        <v>155</v>
      </c>
      <c r="O81" s="414" t="s">
        <v>165</v>
      </c>
    </row>
    <row r="82" spans="1:15" ht="98.1" hidden="1">
      <c r="A82" s="337">
        <v>2</v>
      </c>
      <c r="B82" s="338" t="s">
        <v>164</v>
      </c>
      <c r="C82" s="337">
        <v>740</v>
      </c>
      <c r="D82" s="337">
        <v>49.5</v>
      </c>
      <c r="E82" s="337">
        <v>274</v>
      </c>
      <c r="F82" s="337">
        <f t="shared" si="10"/>
        <v>13563</v>
      </c>
      <c r="G82" s="337">
        <v>287</v>
      </c>
      <c r="H82" s="337">
        <v>46.2</v>
      </c>
      <c r="I82" s="337">
        <f t="shared" si="11"/>
        <v>13259.400000000001</v>
      </c>
      <c r="J82" s="339">
        <f t="shared" si="12"/>
        <v>-2.2384428223844122E-2</v>
      </c>
      <c r="K82" s="340">
        <f>C82*(1+J82)</f>
        <v>723.43552311435531</v>
      </c>
      <c r="L82" s="338" t="s">
        <v>14</v>
      </c>
      <c r="M82" s="337"/>
      <c r="N82" s="341"/>
      <c r="O82" s="414" t="s">
        <v>166</v>
      </c>
    </row>
    <row r="83" spans="1:15">
      <c r="A83" s="49">
        <v>1</v>
      </c>
      <c r="B83" s="69" t="s">
        <v>167</v>
      </c>
      <c r="C83" s="31">
        <v>807</v>
      </c>
      <c r="D83" s="31">
        <v>154</v>
      </c>
      <c r="E83" s="31">
        <v>12.9</v>
      </c>
      <c r="F83" s="31">
        <f t="shared" si="10"/>
        <v>1986.6000000000001</v>
      </c>
      <c r="G83" s="31">
        <v>20</v>
      </c>
      <c r="H83" s="31">
        <f>D83</f>
        <v>154</v>
      </c>
      <c r="I83" s="31">
        <f t="shared" si="11"/>
        <v>3080</v>
      </c>
      <c r="J83" s="32">
        <f t="shared" si="12"/>
        <v>0.55038759689922467</v>
      </c>
      <c r="K83" s="33">
        <f>C83*(1+J83)</f>
        <v>1251.1627906976744</v>
      </c>
      <c r="L83" s="29" t="s">
        <v>101</v>
      </c>
      <c r="M83" s="31">
        <v>1</v>
      </c>
      <c r="N83" s="29" t="s">
        <v>74</v>
      </c>
    </row>
    <row r="84" spans="1:15" hidden="1">
      <c r="B84" s="69"/>
      <c r="J84" s="32">
        <v>0</v>
      </c>
      <c r="K84" s="33"/>
    </row>
    <row r="85" spans="1:15" ht="27.95">
      <c r="A85" s="51">
        <v>1</v>
      </c>
      <c r="B85" s="74" t="s">
        <v>168</v>
      </c>
      <c r="C85" s="51">
        <v>1342</v>
      </c>
      <c r="D85" s="51">
        <v>30.7</v>
      </c>
      <c r="E85" s="51">
        <v>53.6</v>
      </c>
      <c r="F85" s="51">
        <f t="shared" si="10"/>
        <v>1645.52</v>
      </c>
      <c r="G85" s="51">
        <v>60</v>
      </c>
      <c r="H85" s="51">
        <f>D85</f>
        <v>30.7</v>
      </c>
      <c r="I85" s="51">
        <f t="shared" si="11"/>
        <v>1842</v>
      </c>
      <c r="J85" s="72">
        <f t="shared" si="12"/>
        <v>0.11940298507462699</v>
      </c>
      <c r="K85" s="73">
        <f>C85*(1+J85)</f>
        <v>1502.2388059701493</v>
      </c>
      <c r="L85" s="74" t="s">
        <v>157</v>
      </c>
      <c r="M85" s="51">
        <v>0.27</v>
      </c>
      <c r="N85" s="74" t="s">
        <v>169</v>
      </c>
    </row>
    <row r="86" spans="1:15" hidden="1">
      <c r="A86" s="51">
        <v>2</v>
      </c>
      <c r="B86" s="74" t="s">
        <v>168</v>
      </c>
      <c r="C86" s="51"/>
      <c r="D86" s="51"/>
      <c r="E86" s="51"/>
      <c r="F86" s="51">
        <f t="shared" si="10"/>
        <v>0</v>
      </c>
      <c r="G86" s="51"/>
      <c r="H86" s="51"/>
      <c r="I86" s="51">
        <f t="shared" si="11"/>
        <v>0</v>
      </c>
      <c r="J86" s="72">
        <v>0</v>
      </c>
      <c r="K86" s="73"/>
      <c r="L86" s="75"/>
      <c r="M86" s="51">
        <v>0.11</v>
      </c>
      <c r="N86" s="75"/>
    </row>
    <row r="87" spans="1:15">
      <c r="A87" s="49">
        <v>1</v>
      </c>
      <c r="B87" s="69" t="s">
        <v>170</v>
      </c>
      <c r="C87" s="31">
        <v>182</v>
      </c>
      <c r="D87" s="31">
        <v>22.9</v>
      </c>
      <c r="E87" s="31">
        <v>29.3</v>
      </c>
      <c r="F87" s="31">
        <f t="shared" si="10"/>
        <v>670.97</v>
      </c>
      <c r="G87" s="31">
        <v>36</v>
      </c>
      <c r="H87" s="31">
        <f>D87</f>
        <v>22.9</v>
      </c>
      <c r="I87" s="31">
        <f t="shared" si="11"/>
        <v>824.4</v>
      </c>
      <c r="J87" s="32">
        <f t="shared" si="12"/>
        <v>0.22866894197952203</v>
      </c>
      <c r="K87" s="33">
        <f t="shared" ref="K87:K92" si="13">C87*(1+J87)</f>
        <v>223.61774744027301</v>
      </c>
      <c r="L87" s="29" t="s">
        <v>47</v>
      </c>
      <c r="M87" s="31">
        <v>0.22</v>
      </c>
    </row>
    <row r="88" spans="1:15" hidden="1">
      <c r="A88" s="49">
        <v>2</v>
      </c>
      <c r="B88" s="69" t="s">
        <v>170</v>
      </c>
      <c r="C88" s="31">
        <v>182</v>
      </c>
      <c r="D88" s="31">
        <v>22.9</v>
      </c>
      <c r="E88" s="31">
        <v>29.3</v>
      </c>
      <c r="F88" s="31">
        <f t="shared" si="10"/>
        <v>670.97</v>
      </c>
      <c r="G88" s="31">
        <v>36</v>
      </c>
      <c r="H88" s="31">
        <v>28</v>
      </c>
      <c r="I88" s="31">
        <f t="shared" si="11"/>
        <v>1008</v>
      </c>
      <c r="J88" s="32">
        <f t="shared" si="12"/>
        <v>0.50230263648151174</v>
      </c>
      <c r="K88" s="33">
        <f t="shared" si="13"/>
        <v>273.41907983963512</v>
      </c>
      <c r="L88" s="29" t="s">
        <v>47</v>
      </c>
      <c r="M88" s="31">
        <v>0.17</v>
      </c>
    </row>
    <row r="89" spans="1:15" ht="56.1">
      <c r="A89" s="51">
        <v>1</v>
      </c>
      <c r="B89" s="74" t="s">
        <v>171</v>
      </c>
      <c r="C89" s="52">
        <v>119</v>
      </c>
      <c r="D89" s="52">
        <v>23.6</v>
      </c>
      <c r="E89" s="52">
        <v>9</v>
      </c>
      <c r="F89" s="52">
        <f t="shared" si="10"/>
        <v>212.4</v>
      </c>
      <c r="G89" s="52">
        <v>22</v>
      </c>
      <c r="H89" s="52">
        <v>22</v>
      </c>
      <c r="I89" s="52">
        <f t="shared" si="11"/>
        <v>484</v>
      </c>
      <c r="J89" s="53">
        <f t="shared" si="12"/>
        <v>1.278719397363465</v>
      </c>
      <c r="K89" s="54">
        <f t="shared" si="13"/>
        <v>271.16760828625235</v>
      </c>
      <c r="L89" s="55"/>
      <c r="M89" s="52"/>
      <c r="N89" s="74" t="s">
        <v>172</v>
      </c>
      <c r="O89" s="417" t="s">
        <v>173</v>
      </c>
    </row>
    <row r="90" spans="1:15" ht="69.95" hidden="1">
      <c r="A90" s="51">
        <v>2</v>
      </c>
      <c r="B90" s="74" t="s">
        <v>171</v>
      </c>
      <c r="C90" s="52">
        <v>119</v>
      </c>
      <c r="D90" s="52">
        <v>23.6</v>
      </c>
      <c r="E90" s="52">
        <v>9</v>
      </c>
      <c r="F90" s="52">
        <f t="shared" si="10"/>
        <v>212.4</v>
      </c>
      <c r="G90" s="52">
        <v>22</v>
      </c>
      <c r="H90" s="52">
        <v>37.799999999999997</v>
      </c>
      <c r="I90" s="52">
        <f t="shared" si="11"/>
        <v>831.59999999999991</v>
      </c>
      <c r="J90" s="53">
        <f t="shared" si="12"/>
        <v>2.9152542372881349</v>
      </c>
      <c r="K90" s="54">
        <f t="shared" si="13"/>
        <v>465.91525423728808</v>
      </c>
      <c r="L90" s="56"/>
      <c r="M90" s="52"/>
      <c r="N90" s="75" t="s">
        <v>161</v>
      </c>
      <c r="O90" s="417" t="s">
        <v>174</v>
      </c>
    </row>
    <row r="91" spans="1:15">
      <c r="A91" s="49">
        <v>1</v>
      </c>
      <c r="B91" s="69" t="s">
        <v>175</v>
      </c>
      <c r="C91" s="31">
        <v>268</v>
      </c>
      <c r="D91" s="31">
        <v>32.5</v>
      </c>
      <c r="E91" s="31">
        <v>18</v>
      </c>
      <c r="F91" s="31">
        <f t="shared" si="10"/>
        <v>585</v>
      </c>
      <c r="G91" s="31">
        <v>30</v>
      </c>
      <c r="H91" s="31">
        <f>D91</f>
        <v>32.5</v>
      </c>
      <c r="I91" s="31">
        <f t="shared" si="11"/>
        <v>975</v>
      </c>
      <c r="J91" s="32">
        <f t="shared" si="12"/>
        <v>0.66666666666666674</v>
      </c>
      <c r="K91" s="33">
        <f t="shared" si="13"/>
        <v>446.66666666666669</v>
      </c>
      <c r="L91" s="29" t="s">
        <v>14</v>
      </c>
      <c r="M91" s="31">
        <v>0.25</v>
      </c>
      <c r="N91" s="29" t="s">
        <v>176</v>
      </c>
      <c r="O91" s="418" t="s">
        <v>177</v>
      </c>
    </row>
    <row r="92" spans="1:15" hidden="1">
      <c r="A92" s="49">
        <v>2</v>
      </c>
      <c r="B92" s="69" t="s">
        <v>175</v>
      </c>
      <c r="C92" s="31">
        <v>242</v>
      </c>
      <c r="D92" s="31">
        <v>29.6</v>
      </c>
      <c r="E92" s="31">
        <v>18</v>
      </c>
      <c r="F92" s="31">
        <f t="shared" si="10"/>
        <v>532.80000000000007</v>
      </c>
      <c r="G92" s="31">
        <v>25</v>
      </c>
      <c r="H92" s="31">
        <v>36.9</v>
      </c>
      <c r="I92" s="31">
        <f t="shared" si="11"/>
        <v>922.5</v>
      </c>
      <c r="J92" s="32">
        <f t="shared" si="12"/>
        <v>0.73141891891891864</v>
      </c>
      <c r="K92" s="33">
        <f t="shared" si="13"/>
        <v>419.00337837837833</v>
      </c>
      <c r="L92" s="29" t="s">
        <v>14</v>
      </c>
      <c r="M92" s="31">
        <f>0.26+0.26</f>
        <v>0.52</v>
      </c>
    </row>
    <row r="93" spans="1:15">
      <c r="A93" s="57">
        <v>1</v>
      </c>
      <c r="B93" s="62" t="s">
        <v>178</v>
      </c>
      <c r="C93" s="58"/>
      <c r="D93" s="58"/>
      <c r="E93" s="58"/>
      <c r="F93" s="58">
        <f t="shared" si="10"/>
        <v>0</v>
      </c>
      <c r="G93" s="58"/>
      <c r="H93" s="58"/>
      <c r="I93" s="58">
        <f t="shared" si="11"/>
        <v>0</v>
      </c>
      <c r="J93" s="59">
        <v>0</v>
      </c>
      <c r="K93" s="60"/>
      <c r="L93" s="61"/>
      <c r="M93" s="58">
        <v>0</v>
      </c>
      <c r="N93" s="61" t="s">
        <v>74</v>
      </c>
      <c r="O93" s="428"/>
    </row>
    <row r="94" spans="1:15" hidden="1">
      <c r="A94" s="57">
        <v>2</v>
      </c>
      <c r="B94" s="62" t="s">
        <v>178</v>
      </c>
      <c r="C94" s="58"/>
      <c r="D94" s="58"/>
      <c r="E94" s="58"/>
      <c r="F94" s="58">
        <f t="shared" si="10"/>
        <v>0</v>
      </c>
      <c r="G94" s="58"/>
      <c r="H94" s="58"/>
      <c r="I94" s="58">
        <f t="shared" si="11"/>
        <v>0</v>
      </c>
      <c r="J94" s="59">
        <v>0</v>
      </c>
      <c r="K94" s="60"/>
      <c r="L94" s="61"/>
      <c r="M94" s="58">
        <v>0</v>
      </c>
      <c r="N94" s="61"/>
      <c r="O94" s="428"/>
    </row>
    <row r="95" spans="1:15" hidden="1">
      <c r="A95" s="57"/>
      <c r="B95" s="62"/>
      <c r="C95" s="58"/>
      <c r="D95" s="58"/>
      <c r="E95" s="58"/>
      <c r="F95" s="58"/>
      <c r="G95" s="58"/>
      <c r="H95" s="58"/>
      <c r="I95" s="58"/>
      <c r="J95" s="59">
        <v>0</v>
      </c>
      <c r="K95" s="60"/>
      <c r="L95" s="61"/>
      <c r="M95" s="58"/>
      <c r="N95" s="61"/>
      <c r="O95" s="428"/>
    </row>
    <row r="96" spans="1:15">
      <c r="A96" s="233">
        <v>1</v>
      </c>
      <c r="B96" s="234" t="s">
        <v>179</v>
      </c>
      <c r="C96" s="233">
        <v>810</v>
      </c>
      <c r="D96" s="233">
        <v>65.7</v>
      </c>
      <c r="E96" s="233">
        <v>145</v>
      </c>
      <c r="F96" s="233">
        <f t="shared" si="10"/>
        <v>9526.5</v>
      </c>
      <c r="G96" s="233">
        <v>200</v>
      </c>
      <c r="H96" s="233">
        <f>D96</f>
        <v>65.7</v>
      </c>
      <c r="I96" s="233">
        <f t="shared" si="11"/>
        <v>13140</v>
      </c>
      <c r="J96" s="447">
        <f t="shared" ref="J96:J120" si="14">I96/F96-1</f>
        <v>0.3793103448275863</v>
      </c>
      <c r="K96" s="448">
        <f t="shared" ref="K96:K120" si="15">C96*(1+J96)</f>
        <v>1117.2413793103449</v>
      </c>
      <c r="L96" s="449"/>
      <c r="M96" s="233"/>
      <c r="N96" s="449"/>
      <c r="O96" s="431"/>
    </row>
    <row r="97" spans="1:15" hidden="1">
      <c r="A97" s="247"/>
      <c r="B97" s="452"/>
      <c r="C97" s="247"/>
      <c r="D97" s="247"/>
      <c r="E97" s="247"/>
      <c r="F97" s="247"/>
      <c r="G97" s="247"/>
      <c r="H97" s="247"/>
      <c r="I97" s="247"/>
      <c r="J97" s="453">
        <v>0</v>
      </c>
      <c r="K97" s="454"/>
      <c r="L97" s="455"/>
      <c r="M97" s="247"/>
      <c r="N97" s="455"/>
      <c r="O97" s="431"/>
    </row>
    <row r="98" spans="1:15" hidden="1">
      <c r="A98" s="251"/>
      <c r="B98" s="74" t="s">
        <v>180</v>
      </c>
      <c r="C98" s="51">
        <v>310</v>
      </c>
      <c r="D98" s="31">
        <v>39.5</v>
      </c>
      <c r="E98" s="31">
        <v>39.700000000000003</v>
      </c>
      <c r="F98" s="31">
        <f t="shared" ref="F98:F101" si="16">D98*E98</f>
        <v>1568.15</v>
      </c>
      <c r="G98" s="31">
        <v>45</v>
      </c>
      <c r="H98" s="31">
        <f>D98</f>
        <v>39.5</v>
      </c>
      <c r="I98" s="31">
        <f t="shared" ref="I98:I101" si="17">G98*H98</f>
        <v>1777.5</v>
      </c>
      <c r="J98" s="32">
        <f t="shared" ref="J98:J101" si="18">I98/F98-1</f>
        <v>0.13350125944584379</v>
      </c>
      <c r="K98" s="33">
        <f t="shared" ref="K98:K101" si="19">C98*(1+J98)</f>
        <v>351.38539042821156</v>
      </c>
      <c r="L98" s="29" t="s">
        <v>14</v>
      </c>
      <c r="M98" s="251"/>
      <c r="N98" s="253"/>
      <c r="O98" s="432" t="s">
        <v>181</v>
      </c>
    </row>
    <row r="99" spans="1:15" hidden="1">
      <c r="A99" s="251"/>
      <c r="B99" s="74" t="s">
        <v>180</v>
      </c>
      <c r="C99" s="51">
        <v>310</v>
      </c>
      <c r="D99" s="31">
        <v>39.5</v>
      </c>
      <c r="E99" s="31">
        <v>39.700000000000003</v>
      </c>
      <c r="F99" s="31">
        <f t="shared" si="16"/>
        <v>1568.15</v>
      </c>
      <c r="G99" s="31">
        <v>45</v>
      </c>
      <c r="H99" s="31">
        <v>35</v>
      </c>
      <c r="I99" s="31">
        <f t="shared" si="17"/>
        <v>1575</v>
      </c>
      <c r="J99" s="32">
        <f t="shared" si="18"/>
        <v>4.3682045722666096E-3</v>
      </c>
      <c r="K99" s="33">
        <f t="shared" si="19"/>
        <v>311.35414341740267</v>
      </c>
      <c r="L99" s="29" t="s">
        <v>14</v>
      </c>
      <c r="M99" s="251"/>
      <c r="N99" s="253"/>
      <c r="O99" s="432"/>
    </row>
    <row r="100" spans="1:15" ht="14.45">
      <c r="A100" s="34" t="s">
        <v>182</v>
      </c>
      <c r="B100" s="34" t="s">
        <v>183</v>
      </c>
      <c r="C100" s="34" t="s">
        <v>184</v>
      </c>
      <c r="D100" s="460">
        <v>-56</v>
      </c>
      <c r="E100" s="460">
        <v>-21.1</v>
      </c>
      <c r="F100" s="460">
        <f t="shared" si="16"/>
        <v>1181.6000000000001</v>
      </c>
      <c r="G100" s="460">
        <v>150</v>
      </c>
      <c r="H100" s="460">
        <v>8</v>
      </c>
      <c r="I100" s="460">
        <f t="shared" si="17"/>
        <v>1200</v>
      </c>
      <c r="J100" s="231">
        <f t="shared" si="18"/>
        <v>1.5572105619498844E-2</v>
      </c>
      <c r="K100" s="461">
        <f t="shared" si="19"/>
        <v>254.90859851049422</v>
      </c>
      <c r="L100" s="34" t="s">
        <v>14</v>
      </c>
      <c r="M100" s="34"/>
      <c r="N100" s="34"/>
      <c r="O100" s="392" t="s">
        <v>185</v>
      </c>
    </row>
    <row r="101" spans="1:15" hidden="1">
      <c r="A101" s="34" t="s">
        <v>186</v>
      </c>
      <c r="B101" s="34" t="s">
        <v>183</v>
      </c>
      <c r="C101" s="34" t="s">
        <v>184</v>
      </c>
      <c r="D101" s="460">
        <v>-56</v>
      </c>
      <c r="E101" s="460">
        <v>-21.1</v>
      </c>
      <c r="F101" s="460">
        <f t="shared" si="16"/>
        <v>1181.6000000000001</v>
      </c>
      <c r="G101" s="460">
        <v>150</v>
      </c>
      <c r="H101" s="460">
        <v>28</v>
      </c>
      <c r="I101" s="460">
        <f t="shared" si="17"/>
        <v>4200</v>
      </c>
      <c r="J101" s="231">
        <f t="shared" si="18"/>
        <v>2.5545023696682461</v>
      </c>
      <c r="K101" s="461">
        <f t="shared" si="19"/>
        <v>892.1800947867298</v>
      </c>
      <c r="L101" s="34" t="s">
        <v>14</v>
      </c>
      <c r="M101" s="34"/>
      <c r="N101" s="34"/>
      <c r="O101" s="462" t="s">
        <v>187</v>
      </c>
    </row>
    <row r="102" spans="1:15" ht="153.94999999999999" hidden="1">
      <c r="A102" s="34"/>
      <c r="B102" s="34" t="s">
        <v>188</v>
      </c>
      <c r="C102" s="34"/>
      <c r="D102" s="460"/>
      <c r="E102" s="460"/>
      <c r="F102" s="460"/>
      <c r="G102" s="460"/>
      <c r="H102" s="460"/>
      <c r="I102" s="460"/>
      <c r="J102" s="231">
        <v>0</v>
      </c>
      <c r="K102" s="461"/>
      <c r="L102" s="34"/>
      <c r="M102" s="34"/>
      <c r="N102" s="34"/>
      <c r="O102" s="462" t="s">
        <v>189</v>
      </c>
    </row>
    <row r="103" spans="1:15" ht="27.95" hidden="1">
      <c r="A103" s="34"/>
      <c r="B103" s="34" t="s">
        <v>188</v>
      </c>
      <c r="C103" s="34"/>
      <c r="D103" s="460"/>
      <c r="E103" s="460"/>
      <c r="F103" s="460"/>
      <c r="G103" s="460"/>
      <c r="H103" s="460"/>
      <c r="I103" s="460"/>
      <c r="J103" s="231">
        <v>0</v>
      </c>
      <c r="K103" s="461"/>
      <c r="L103" s="34"/>
      <c r="M103" s="34"/>
      <c r="N103" s="34"/>
      <c r="O103" t="s">
        <v>190</v>
      </c>
    </row>
    <row r="104" spans="1:15" s="357" customFormat="1" ht="66">
      <c r="A104" s="353">
        <v>1</v>
      </c>
      <c r="B104" s="354" t="s">
        <v>191</v>
      </c>
      <c r="C104" s="353">
        <v>190</v>
      </c>
      <c r="D104" s="353">
        <v>18.8</v>
      </c>
      <c r="E104" s="353">
        <v>13.8</v>
      </c>
      <c r="F104" s="353">
        <f t="shared" si="10"/>
        <v>259.44</v>
      </c>
      <c r="G104" s="353">
        <v>20</v>
      </c>
      <c r="H104" s="353">
        <v>18.8</v>
      </c>
      <c r="I104" s="353">
        <f t="shared" si="11"/>
        <v>376</v>
      </c>
      <c r="J104" s="355">
        <f t="shared" si="14"/>
        <v>0.44927536231884058</v>
      </c>
      <c r="K104" s="356">
        <f t="shared" si="15"/>
        <v>275.36231884057969</v>
      </c>
      <c r="L104" s="354" t="s">
        <v>47</v>
      </c>
      <c r="M104" s="353">
        <v>2.13</v>
      </c>
      <c r="N104" s="354" t="s">
        <v>74</v>
      </c>
      <c r="O104" s="451" t="s">
        <v>192</v>
      </c>
    </row>
    <row r="105" spans="1:15" s="357" customFormat="1" ht="72.599999999999994" hidden="1">
      <c r="A105" s="353">
        <v>2</v>
      </c>
      <c r="B105" s="354" t="s">
        <v>191</v>
      </c>
      <c r="C105" s="353">
        <v>190</v>
      </c>
      <c r="D105" s="353">
        <v>18.8</v>
      </c>
      <c r="E105" s="353">
        <v>13.8</v>
      </c>
      <c r="F105" s="353">
        <f t="shared" si="10"/>
        <v>259.44</v>
      </c>
      <c r="G105" s="353">
        <v>20</v>
      </c>
      <c r="H105" s="353">
        <v>28.1</v>
      </c>
      <c r="I105" s="353">
        <f t="shared" si="11"/>
        <v>562</v>
      </c>
      <c r="J105" s="355">
        <f t="shared" si="14"/>
        <v>1.1662041319765648</v>
      </c>
      <c r="K105" s="356">
        <f t="shared" si="15"/>
        <v>411.57878507554733</v>
      </c>
      <c r="L105" s="354" t="s">
        <v>48</v>
      </c>
      <c r="M105" s="353"/>
      <c r="N105" s="358"/>
      <c r="O105" s="451" t="s">
        <v>193</v>
      </c>
    </row>
    <row r="106" spans="1:15" ht="27.95">
      <c r="A106" s="57">
        <v>1</v>
      </c>
      <c r="B106" s="62" t="s">
        <v>194</v>
      </c>
      <c r="C106" s="57">
        <v>178</v>
      </c>
      <c r="D106" s="57">
        <v>30.2</v>
      </c>
      <c r="E106" s="57">
        <v>3.5</v>
      </c>
      <c r="F106" s="57">
        <f t="shared" si="10"/>
        <v>105.7</v>
      </c>
      <c r="G106" s="57">
        <v>4.5</v>
      </c>
      <c r="H106" s="57">
        <f>D106</f>
        <v>30.2</v>
      </c>
      <c r="I106" s="57">
        <f t="shared" si="11"/>
        <v>135.9</v>
      </c>
      <c r="J106" s="63">
        <f t="shared" si="14"/>
        <v>0.28571428571428581</v>
      </c>
      <c r="K106" s="64">
        <f t="shared" si="15"/>
        <v>228.85714285714286</v>
      </c>
      <c r="L106" s="65"/>
      <c r="M106" s="57"/>
      <c r="N106" s="62" t="s">
        <v>195</v>
      </c>
    </row>
    <row r="107" spans="1:15" hidden="1">
      <c r="A107" s="148">
        <v>2</v>
      </c>
      <c r="B107" s="149" t="s">
        <v>194</v>
      </c>
      <c r="C107" s="148">
        <v>178</v>
      </c>
      <c r="D107" s="148">
        <v>30.2</v>
      </c>
      <c r="E107" s="148">
        <v>3.5</v>
      </c>
      <c r="F107" s="148">
        <f t="shared" si="10"/>
        <v>105.7</v>
      </c>
      <c r="G107" s="148">
        <v>4.5</v>
      </c>
      <c r="H107" s="148">
        <v>36.9</v>
      </c>
      <c r="I107" s="148">
        <f t="shared" si="11"/>
        <v>166.04999999999998</v>
      </c>
      <c r="J107" s="150">
        <f t="shared" si="14"/>
        <v>0.57095553453169323</v>
      </c>
      <c r="K107" s="151">
        <f t="shared" si="15"/>
        <v>279.63008514664142</v>
      </c>
      <c r="L107" s="152"/>
      <c r="M107" s="148">
        <v>2.09</v>
      </c>
      <c r="N107" s="152"/>
      <c r="O107" s="429"/>
    </row>
    <row r="108" spans="1:15" ht="27.95">
      <c r="A108" s="49">
        <v>1</v>
      </c>
      <c r="B108" s="69" t="s">
        <v>196</v>
      </c>
      <c r="C108" s="31">
        <v>627</v>
      </c>
      <c r="D108" s="31">
        <v>36.700000000000003</v>
      </c>
      <c r="E108" s="31">
        <v>12</v>
      </c>
      <c r="F108" s="31">
        <f t="shared" si="10"/>
        <v>440.40000000000003</v>
      </c>
      <c r="G108" s="31">
        <v>14.4</v>
      </c>
      <c r="H108" s="31">
        <f>D108</f>
        <v>36.700000000000003</v>
      </c>
      <c r="I108" s="31">
        <f t="shared" si="11"/>
        <v>528.48</v>
      </c>
      <c r="J108" s="32">
        <f t="shared" si="14"/>
        <v>0.19999999999999996</v>
      </c>
      <c r="K108" s="33">
        <f t="shared" si="15"/>
        <v>752.4</v>
      </c>
      <c r="L108" s="29" t="s">
        <v>14</v>
      </c>
      <c r="N108" s="29" t="s">
        <v>169</v>
      </c>
    </row>
    <row r="109" spans="1:15" ht="27.95" hidden="1">
      <c r="A109" s="49">
        <v>2</v>
      </c>
      <c r="B109" s="69" t="s">
        <v>196</v>
      </c>
      <c r="C109" s="31">
        <v>627</v>
      </c>
      <c r="D109" s="31">
        <v>36.700000000000003</v>
      </c>
      <c r="E109" s="31">
        <v>12</v>
      </c>
      <c r="F109" s="31">
        <f t="shared" si="10"/>
        <v>440.40000000000003</v>
      </c>
      <c r="G109" s="31">
        <v>14.4</v>
      </c>
      <c r="H109" s="31">
        <v>23.8</v>
      </c>
      <c r="I109" s="31">
        <f t="shared" si="11"/>
        <v>342.72</v>
      </c>
      <c r="J109" s="32">
        <f t="shared" si="14"/>
        <v>-0.22179836512261575</v>
      </c>
      <c r="K109" s="33">
        <f t="shared" si="15"/>
        <v>487.93242506811993</v>
      </c>
      <c r="L109" s="29" t="s">
        <v>197</v>
      </c>
    </row>
    <row r="110" spans="1:15" ht="27.95">
      <c r="A110" s="57">
        <v>1</v>
      </c>
      <c r="B110" s="62" t="s">
        <v>198</v>
      </c>
      <c r="C110" s="57">
        <v>666</v>
      </c>
      <c r="D110" s="57">
        <v>47.2</v>
      </c>
      <c r="E110" s="57">
        <v>81.099999999999994</v>
      </c>
      <c r="F110" s="57">
        <f t="shared" si="10"/>
        <v>3827.92</v>
      </c>
      <c r="G110" s="57">
        <v>95</v>
      </c>
      <c r="H110" s="57">
        <f>D110</f>
        <v>47.2</v>
      </c>
      <c r="I110" s="57">
        <f t="shared" si="11"/>
        <v>4484</v>
      </c>
      <c r="J110" s="63">
        <f t="shared" si="14"/>
        <v>0.1713933415536375</v>
      </c>
      <c r="K110" s="64">
        <f t="shared" si="15"/>
        <v>780.14796547472258</v>
      </c>
      <c r="L110" s="62" t="s">
        <v>14</v>
      </c>
      <c r="M110" s="57">
        <v>0.9</v>
      </c>
      <c r="N110" s="62" t="s">
        <v>199</v>
      </c>
    </row>
    <row r="111" spans="1:15" ht="27.95" hidden="1">
      <c r="A111" s="57">
        <v>2</v>
      </c>
      <c r="B111" s="62" t="s">
        <v>198</v>
      </c>
      <c r="C111" s="57">
        <v>680</v>
      </c>
      <c r="D111" s="57">
        <v>47.7</v>
      </c>
      <c r="E111" s="57">
        <v>81.099999999999994</v>
      </c>
      <c r="F111" s="57">
        <f t="shared" si="10"/>
        <v>3868.47</v>
      </c>
      <c r="G111" s="57">
        <v>90</v>
      </c>
      <c r="H111" s="57">
        <v>38.299999999999997</v>
      </c>
      <c r="I111" s="57">
        <f t="shared" si="11"/>
        <v>3446.9999999999995</v>
      </c>
      <c r="J111" s="63">
        <f t="shared" si="14"/>
        <v>-0.10895005001977531</v>
      </c>
      <c r="K111" s="64">
        <f t="shared" si="15"/>
        <v>605.91396598655274</v>
      </c>
      <c r="L111" s="65"/>
      <c r="M111" s="57">
        <v>0.2</v>
      </c>
      <c r="N111" s="65"/>
    </row>
    <row r="112" spans="1:15">
      <c r="A112" s="51">
        <v>1</v>
      </c>
      <c r="B112" s="74" t="s">
        <v>200</v>
      </c>
      <c r="C112" s="52">
        <v>165</v>
      </c>
      <c r="D112" s="52">
        <v>29.1</v>
      </c>
      <c r="E112" s="52">
        <v>8.1</v>
      </c>
      <c r="F112" s="52">
        <f t="shared" si="10"/>
        <v>235.71</v>
      </c>
      <c r="G112" s="52">
        <v>12</v>
      </c>
      <c r="H112" s="52">
        <f>D112</f>
        <v>29.1</v>
      </c>
      <c r="I112" s="52">
        <f t="shared" si="11"/>
        <v>349.20000000000005</v>
      </c>
      <c r="J112" s="53">
        <f t="shared" si="14"/>
        <v>0.48148148148148162</v>
      </c>
      <c r="K112" s="54">
        <f t="shared" si="15"/>
        <v>244.44444444444446</v>
      </c>
      <c r="L112" s="55" t="s">
        <v>14</v>
      </c>
      <c r="M112" s="52"/>
      <c r="N112" s="55" t="s">
        <v>35</v>
      </c>
      <c r="O112" s="414" t="s">
        <v>201</v>
      </c>
    </row>
    <row r="113" spans="1:15" hidden="1">
      <c r="A113" s="51">
        <v>2</v>
      </c>
      <c r="B113" s="74" t="s">
        <v>200</v>
      </c>
      <c r="C113" s="52">
        <v>155</v>
      </c>
      <c r="D113" s="52">
        <v>27.3</v>
      </c>
      <c r="E113" s="52">
        <v>8.1</v>
      </c>
      <c r="F113" s="52">
        <f t="shared" si="10"/>
        <v>221.13</v>
      </c>
      <c r="G113" s="52">
        <v>12</v>
      </c>
      <c r="H113" s="52">
        <v>34.6</v>
      </c>
      <c r="I113" s="52">
        <f t="shared" si="11"/>
        <v>415.20000000000005</v>
      </c>
      <c r="J113" s="53">
        <f t="shared" si="14"/>
        <v>0.8776285442952112</v>
      </c>
      <c r="K113" s="54">
        <f t="shared" si="15"/>
        <v>291.03242436575772</v>
      </c>
      <c r="L113" s="55" t="s">
        <v>14</v>
      </c>
      <c r="M113" s="52"/>
      <c r="N113" s="55" t="s">
        <v>35</v>
      </c>
    </row>
    <row r="114" spans="1:15" ht="27.95">
      <c r="A114" s="49">
        <v>1</v>
      </c>
      <c r="B114" s="69" t="s">
        <v>202</v>
      </c>
      <c r="C114" s="31">
        <v>1892</v>
      </c>
      <c r="D114" s="31">
        <v>19</v>
      </c>
      <c r="E114" s="31">
        <v>439</v>
      </c>
      <c r="F114" s="31">
        <f t="shared" si="10"/>
        <v>8341</v>
      </c>
      <c r="G114" s="31">
        <v>500</v>
      </c>
      <c r="H114" s="31">
        <f>D114</f>
        <v>19</v>
      </c>
      <c r="I114" s="31">
        <f t="shared" si="11"/>
        <v>9500</v>
      </c>
      <c r="J114" s="32">
        <f t="shared" si="14"/>
        <v>0.13895216400911159</v>
      </c>
      <c r="K114" s="33">
        <f t="shared" si="15"/>
        <v>2154.897494305239</v>
      </c>
      <c r="L114" s="29" t="s">
        <v>14</v>
      </c>
    </row>
    <row r="115" spans="1:15" ht="27.95" hidden="1">
      <c r="A115" s="49">
        <v>2</v>
      </c>
      <c r="B115" s="69" t="s">
        <v>202</v>
      </c>
      <c r="C115" s="31">
        <v>1892</v>
      </c>
      <c r="D115" s="31">
        <v>19</v>
      </c>
      <c r="E115" s="31">
        <v>439</v>
      </c>
      <c r="F115" s="31">
        <f t="shared" si="10"/>
        <v>8341</v>
      </c>
      <c r="G115" s="31">
        <v>500</v>
      </c>
      <c r="H115" s="31">
        <v>36.6</v>
      </c>
      <c r="I115" s="31">
        <f t="shared" si="11"/>
        <v>18300</v>
      </c>
      <c r="J115" s="32">
        <f t="shared" si="14"/>
        <v>1.193981536985973</v>
      </c>
      <c r="K115" s="33">
        <f t="shared" si="15"/>
        <v>4151.0130679774611</v>
      </c>
      <c r="L115" s="29" t="s">
        <v>14</v>
      </c>
    </row>
    <row r="116" spans="1:15" ht="27.95">
      <c r="A116" s="49">
        <v>1</v>
      </c>
      <c r="B116" s="69" t="s">
        <v>203</v>
      </c>
      <c r="C116" s="31">
        <v>363</v>
      </c>
      <c r="D116" s="31">
        <v>140</v>
      </c>
      <c r="E116" s="31">
        <v>3.33</v>
      </c>
      <c r="F116" s="31">
        <f t="shared" si="10"/>
        <v>466.2</v>
      </c>
      <c r="G116" s="31">
        <v>4.16</v>
      </c>
      <c r="H116" s="31">
        <f>D116</f>
        <v>140</v>
      </c>
      <c r="I116" s="31">
        <f t="shared" si="11"/>
        <v>582.4</v>
      </c>
      <c r="J116" s="32">
        <f t="shared" si="14"/>
        <v>0.24924924924924929</v>
      </c>
      <c r="K116" s="33">
        <f t="shared" si="15"/>
        <v>453.47747747747752</v>
      </c>
      <c r="L116" s="29" t="s">
        <v>157</v>
      </c>
      <c r="M116" s="31">
        <v>0.56000000000000005</v>
      </c>
      <c r="N116" s="29" t="s">
        <v>169</v>
      </c>
    </row>
    <row r="117" spans="1:15" ht="27.95" hidden="1">
      <c r="A117" s="49">
        <v>2</v>
      </c>
      <c r="B117" s="69" t="s">
        <v>203</v>
      </c>
      <c r="C117" s="31">
        <v>363</v>
      </c>
      <c r="D117" s="31">
        <v>140</v>
      </c>
      <c r="E117" s="31">
        <v>3.33</v>
      </c>
      <c r="F117" s="31">
        <f t="shared" si="10"/>
        <v>466.2</v>
      </c>
      <c r="G117" s="31">
        <v>4.16</v>
      </c>
      <c r="H117" s="31">
        <v>36.9</v>
      </c>
      <c r="I117" s="31">
        <f t="shared" si="11"/>
        <v>153.50399999999999</v>
      </c>
      <c r="J117" s="32">
        <f t="shared" si="14"/>
        <v>-0.67073359073359073</v>
      </c>
      <c r="K117" s="33">
        <f t="shared" si="15"/>
        <v>119.52370656370657</v>
      </c>
      <c r="L117" s="29" t="s">
        <v>157</v>
      </c>
    </row>
    <row r="118" spans="1:15">
      <c r="A118" s="49">
        <v>1</v>
      </c>
      <c r="B118" s="69" t="s">
        <v>204</v>
      </c>
      <c r="C118" s="31">
        <v>2010</v>
      </c>
      <c r="D118" s="31">
        <v>26.4</v>
      </c>
      <c r="E118" s="31">
        <v>128</v>
      </c>
      <c r="F118" s="31">
        <f t="shared" si="10"/>
        <v>3379.2</v>
      </c>
      <c r="G118" s="31">
        <v>135</v>
      </c>
      <c r="H118" s="31">
        <f>D118</f>
        <v>26.4</v>
      </c>
      <c r="I118" s="31">
        <f t="shared" si="11"/>
        <v>3564</v>
      </c>
      <c r="J118" s="32">
        <f t="shared" si="14"/>
        <v>5.46875E-2</v>
      </c>
      <c r="K118" s="33">
        <f t="shared" si="15"/>
        <v>2119.921875</v>
      </c>
      <c r="L118" s="29" t="s">
        <v>14</v>
      </c>
      <c r="M118" s="31">
        <v>0.9</v>
      </c>
      <c r="N118" s="29" t="s">
        <v>74</v>
      </c>
    </row>
    <row r="119" spans="1:15" hidden="1">
      <c r="A119" s="49">
        <v>2</v>
      </c>
      <c r="B119" s="69" t="s">
        <v>204</v>
      </c>
      <c r="C119" s="31">
        <v>2010</v>
      </c>
      <c r="D119" s="31">
        <v>26.4</v>
      </c>
      <c r="E119" s="31">
        <v>128</v>
      </c>
      <c r="F119" s="31">
        <f t="shared" si="10"/>
        <v>3379.2</v>
      </c>
      <c r="G119" s="31">
        <v>135</v>
      </c>
      <c r="H119" s="31">
        <v>31.4</v>
      </c>
      <c r="I119" s="31">
        <f t="shared" si="11"/>
        <v>4239</v>
      </c>
      <c r="J119" s="32">
        <f t="shared" si="14"/>
        <v>0.25443892045454541</v>
      </c>
      <c r="K119" s="33">
        <f t="shared" si="15"/>
        <v>2521.4222301136365</v>
      </c>
      <c r="L119" s="29" t="s">
        <v>74</v>
      </c>
      <c r="M119" s="31">
        <v>0.12</v>
      </c>
    </row>
    <row r="120" spans="1:15" ht="27.95">
      <c r="A120" s="57">
        <v>1</v>
      </c>
      <c r="B120" s="62" t="s">
        <v>205</v>
      </c>
      <c r="C120" s="57">
        <v>312</v>
      </c>
      <c r="D120" s="57">
        <v>55</v>
      </c>
      <c r="E120" s="57">
        <v>14</v>
      </c>
      <c r="F120" s="57">
        <f t="shared" si="10"/>
        <v>770</v>
      </c>
      <c r="G120" s="57">
        <v>17</v>
      </c>
      <c r="H120" s="57">
        <f>D120</f>
        <v>55</v>
      </c>
      <c r="I120" s="57">
        <f t="shared" si="11"/>
        <v>935</v>
      </c>
      <c r="J120" s="63">
        <f t="shared" si="14"/>
        <v>0.21428571428571419</v>
      </c>
      <c r="K120" s="64">
        <f t="shared" si="15"/>
        <v>378.85714285714283</v>
      </c>
      <c r="L120" s="62" t="s">
        <v>47</v>
      </c>
      <c r="M120" s="57">
        <v>2.56</v>
      </c>
      <c r="N120" s="62" t="s">
        <v>206</v>
      </c>
    </row>
    <row r="121" spans="1:15" ht="27.95" hidden="1">
      <c r="A121" s="57">
        <v>2</v>
      </c>
      <c r="B121" s="62" t="s">
        <v>205</v>
      </c>
      <c r="C121" s="57">
        <v>312</v>
      </c>
      <c r="D121" s="57">
        <v>55</v>
      </c>
      <c r="E121" s="57">
        <v>14</v>
      </c>
      <c r="F121" s="57">
        <f>D121*E121</f>
        <v>770</v>
      </c>
      <c r="G121" s="57">
        <v>17</v>
      </c>
      <c r="H121" s="57">
        <v>62</v>
      </c>
      <c r="I121" s="57">
        <f>G121*H121</f>
        <v>1054</v>
      </c>
      <c r="J121" s="63">
        <f>I121/F121-1</f>
        <v>0.36883116883116873</v>
      </c>
      <c r="K121" s="64">
        <f>C121*(1+J121)</f>
        <v>427.07532467532462</v>
      </c>
      <c r="L121" s="62" t="s">
        <v>48</v>
      </c>
      <c r="M121" s="57"/>
      <c r="N121" s="62"/>
    </row>
    <row r="122" spans="1:15" ht="51.75" customHeight="1">
      <c r="A122" s="180">
        <v>1</v>
      </c>
      <c r="B122" s="183" t="s">
        <v>207</v>
      </c>
      <c r="C122" s="180"/>
      <c r="D122" s="180"/>
      <c r="E122" s="180"/>
      <c r="F122" s="180">
        <f t="shared" si="10"/>
        <v>0</v>
      </c>
      <c r="G122" s="180"/>
      <c r="H122" s="180"/>
      <c r="I122" s="180">
        <f t="shared" si="11"/>
        <v>0</v>
      </c>
      <c r="J122" s="181">
        <v>0</v>
      </c>
      <c r="K122" s="182"/>
      <c r="L122" s="184"/>
      <c r="M122" s="180">
        <v>1.92</v>
      </c>
      <c r="N122" s="184"/>
      <c r="O122" s="371" t="s">
        <v>58</v>
      </c>
    </row>
    <row r="123" spans="1:15" ht="27.95">
      <c r="A123" s="175">
        <v>1</v>
      </c>
      <c r="B123" s="176" t="s">
        <v>208</v>
      </c>
      <c r="C123" s="175">
        <v>918</v>
      </c>
      <c r="D123" s="175">
        <v>16.2</v>
      </c>
      <c r="E123" s="175">
        <v>17</v>
      </c>
      <c r="F123" s="175">
        <f t="shared" si="10"/>
        <v>275.39999999999998</v>
      </c>
      <c r="G123" s="175">
        <v>20</v>
      </c>
      <c r="H123" s="175">
        <f>D123</f>
        <v>16.2</v>
      </c>
      <c r="I123" s="175">
        <f t="shared" si="11"/>
        <v>324</v>
      </c>
      <c r="J123" s="177">
        <f t="shared" ref="J123:J142" si="20">I123/F123-1</f>
        <v>0.17647058823529416</v>
      </c>
      <c r="K123" s="178">
        <f t="shared" ref="K123:K142" si="21">C123*(1+J123)</f>
        <v>1080</v>
      </c>
      <c r="L123" s="176" t="s">
        <v>14</v>
      </c>
      <c r="M123" s="175"/>
      <c r="N123" s="179"/>
      <c r="O123" s="423"/>
    </row>
    <row r="124" spans="1:15" ht="27.95" hidden="1">
      <c r="A124" s="175">
        <v>2</v>
      </c>
      <c r="B124" s="176" t="s">
        <v>208</v>
      </c>
      <c r="C124" s="175">
        <v>918</v>
      </c>
      <c r="D124" s="175">
        <v>16.2</v>
      </c>
      <c r="E124" s="175">
        <v>17</v>
      </c>
      <c r="F124" s="175">
        <f t="shared" si="10"/>
        <v>275.39999999999998</v>
      </c>
      <c r="G124" s="175">
        <v>20</v>
      </c>
      <c r="H124" s="175">
        <v>16</v>
      </c>
      <c r="I124" s="175">
        <f t="shared" si="11"/>
        <v>320</v>
      </c>
      <c r="J124" s="177">
        <f t="shared" si="20"/>
        <v>0.16194625998547574</v>
      </c>
      <c r="K124" s="178">
        <f t="shared" si="21"/>
        <v>1066.6666666666667</v>
      </c>
      <c r="L124" s="179"/>
      <c r="M124" s="175"/>
      <c r="N124" s="179"/>
      <c r="O124" s="423"/>
    </row>
    <row r="125" spans="1:15">
      <c r="A125" s="233">
        <v>1</v>
      </c>
      <c r="B125" s="234" t="s">
        <v>209</v>
      </c>
      <c r="C125" s="233">
        <v>1688</v>
      </c>
      <c r="D125" s="233">
        <v>73</v>
      </c>
      <c r="E125" s="233">
        <v>268</v>
      </c>
      <c r="F125" s="233">
        <f t="shared" si="10"/>
        <v>19564</v>
      </c>
      <c r="G125" s="233">
        <v>400</v>
      </c>
      <c r="H125" s="233">
        <f>D125</f>
        <v>73</v>
      </c>
      <c r="I125" s="233">
        <f t="shared" si="11"/>
        <v>29200</v>
      </c>
      <c r="J125" s="447">
        <f t="shared" si="20"/>
        <v>0.49253731343283591</v>
      </c>
      <c r="K125" s="448">
        <f t="shared" si="21"/>
        <v>2519.4029850746269</v>
      </c>
      <c r="L125" s="449"/>
      <c r="M125" s="233"/>
      <c r="N125" s="449"/>
      <c r="O125" s="450" t="s">
        <v>210</v>
      </c>
    </row>
    <row r="126" spans="1:15" ht="69.95" hidden="1">
      <c r="A126" s="233">
        <v>2</v>
      </c>
      <c r="B126" s="234" t="s">
        <v>209</v>
      </c>
      <c r="C126" s="233">
        <v>1688</v>
      </c>
      <c r="D126" s="233">
        <v>73</v>
      </c>
      <c r="E126" s="233">
        <v>268</v>
      </c>
      <c r="F126" s="233">
        <f t="shared" si="10"/>
        <v>19564</v>
      </c>
      <c r="G126" s="233">
        <v>460</v>
      </c>
      <c r="H126" s="233">
        <f>D126</f>
        <v>73</v>
      </c>
      <c r="I126" s="233">
        <f t="shared" si="11"/>
        <v>33580</v>
      </c>
      <c r="J126" s="447">
        <f t="shared" si="20"/>
        <v>0.71641791044776126</v>
      </c>
      <c r="K126" s="448">
        <f t="shared" si="21"/>
        <v>2897.313432835821</v>
      </c>
      <c r="L126" s="449"/>
      <c r="M126" s="233"/>
      <c r="N126" s="449"/>
      <c r="O126" s="450" t="s">
        <v>211</v>
      </c>
    </row>
    <row r="127" spans="1:15" ht="126">
      <c r="A127" s="51">
        <v>1</v>
      </c>
      <c r="B127" s="74" t="s">
        <v>212</v>
      </c>
      <c r="C127" s="52">
        <v>1801</v>
      </c>
      <c r="D127" s="52">
        <v>76.5</v>
      </c>
      <c r="E127" s="52">
        <v>40.299999999999997</v>
      </c>
      <c r="F127" s="52">
        <f t="shared" si="10"/>
        <v>3082.95</v>
      </c>
      <c r="G127" s="52">
        <v>60</v>
      </c>
      <c r="H127" s="52">
        <f>D127</f>
        <v>76.5</v>
      </c>
      <c r="I127" s="52">
        <f t="shared" si="11"/>
        <v>4590</v>
      </c>
      <c r="J127" s="53">
        <f t="shared" si="20"/>
        <v>0.48883374689826309</v>
      </c>
      <c r="K127" s="54">
        <f t="shared" si="21"/>
        <v>2681.3895781637716</v>
      </c>
      <c r="L127" s="56"/>
      <c r="M127" s="52">
        <f>0.89+0.62</f>
        <v>1.51</v>
      </c>
      <c r="N127" s="55" t="s">
        <v>213</v>
      </c>
      <c r="O127" s="430" t="s">
        <v>214</v>
      </c>
    </row>
    <row r="128" spans="1:15" ht="237.95" hidden="1">
      <c r="A128" s="51">
        <v>2</v>
      </c>
      <c r="B128" s="74" t="s">
        <v>212</v>
      </c>
      <c r="C128" s="52">
        <v>1801</v>
      </c>
      <c r="D128" s="52">
        <v>76.5</v>
      </c>
      <c r="E128" s="52">
        <v>40.299999999999997</v>
      </c>
      <c r="F128" s="52">
        <f t="shared" si="10"/>
        <v>3082.95</v>
      </c>
      <c r="G128" s="52">
        <v>60</v>
      </c>
      <c r="H128" s="52">
        <v>58.5</v>
      </c>
      <c r="I128" s="52">
        <f t="shared" si="11"/>
        <v>3510</v>
      </c>
      <c r="J128" s="53">
        <f t="shared" si="20"/>
        <v>0.13851992409867186</v>
      </c>
      <c r="K128" s="54">
        <f t="shared" si="21"/>
        <v>2050.4743833017078</v>
      </c>
      <c r="L128" s="55" t="s">
        <v>48</v>
      </c>
      <c r="M128" s="52">
        <f>0.49+0.65</f>
        <v>1.1400000000000001</v>
      </c>
      <c r="N128" s="56"/>
      <c r="O128" s="417" t="s">
        <v>215</v>
      </c>
    </row>
    <row r="129" spans="1:16">
      <c r="A129" s="233">
        <v>1</v>
      </c>
      <c r="B129" s="234" t="s">
        <v>216</v>
      </c>
      <c r="C129" s="235">
        <v>606</v>
      </c>
      <c r="D129" s="235">
        <v>54</v>
      </c>
      <c r="E129" s="235">
        <v>144</v>
      </c>
      <c r="F129" s="235">
        <f t="shared" si="10"/>
        <v>7776</v>
      </c>
      <c r="G129" s="235">
        <v>180</v>
      </c>
      <c r="H129" s="235">
        <f>D129</f>
        <v>54</v>
      </c>
      <c r="I129" s="235">
        <f t="shared" si="11"/>
        <v>9720</v>
      </c>
      <c r="J129" s="236">
        <f t="shared" si="20"/>
        <v>0.25</v>
      </c>
      <c r="K129" s="237">
        <f t="shared" si="21"/>
        <v>757.5</v>
      </c>
      <c r="L129" s="238"/>
      <c r="M129" s="235">
        <v>0</v>
      </c>
      <c r="N129" s="239" t="s">
        <v>35</v>
      </c>
      <c r="O129" s="431" t="s">
        <v>217</v>
      </c>
      <c r="P129" s="32">
        <v>0.17</v>
      </c>
    </row>
    <row r="130" spans="1:16" hidden="1">
      <c r="A130" s="233">
        <v>2</v>
      </c>
      <c r="B130" s="234" t="s">
        <v>216</v>
      </c>
      <c r="C130" s="235">
        <v>606</v>
      </c>
      <c r="D130" s="235">
        <v>54</v>
      </c>
      <c r="E130" s="235">
        <v>144</v>
      </c>
      <c r="F130" s="235">
        <f t="shared" si="10"/>
        <v>7776</v>
      </c>
      <c r="G130" s="235">
        <v>180</v>
      </c>
      <c r="H130" s="235">
        <v>45</v>
      </c>
      <c r="I130" s="235">
        <f t="shared" si="11"/>
        <v>8100</v>
      </c>
      <c r="J130" s="236">
        <f t="shared" si="20"/>
        <v>4.1666666666666741E-2</v>
      </c>
      <c r="K130" s="237">
        <f t="shared" si="21"/>
        <v>631.25</v>
      </c>
      <c r="L130" s="238"/>
      <c r="M130" s="235"/>
      <c r="N130" s="238"/>
      <c r="O130" s="431"/>
    </row>
    <row r="131" spans="1:16" ht="27.95">
      <c r="A131" s="49">
        <v>1</v>
      </c>
      <c r="B131" s="69" t="s">
        <v>218</v>
      </c>
      <c r="C131" s="31">
        <v>388</v>
      </c>
      <c r="D131" s="31">
        <v>27.9</v>
      </c>
      <c r="E131" s="31">
        <v>424</v>
      </c>
      <c r="F131" s="31">
        <f t="shared" si="10"/>
        <v>11829.599999999999</v>
      </c>
      <c r="G131" s="31">
        <v>445</v>
      </c>
      <c r="H131" s="31">
        <f>D131</f>
        <v>27.9</v>
      </c>
      <c r="I131" s="31">
        <f t="shared" si="11"/>
        <v>12415.5</v>
      </c>
      <c r="J131" s="32">
        <f t="shared" si="20"/>
        <v>4.9528301886792692E-2</v>
      </c>
      <c r="K131" s="33">
        <f t="shared" si="21"/>
        <v>407.21698113207555</v>
      </c>
      <c r="L131" s="29" t="s">
        <v>14</v>
      </c>
      <c r="M131" s="31">
        <v>0.19</v>
      </c>
      <c r="N131" s="29" t="s">
        <v>15</v>
      </c>
    </row>
    <row r="132" spans="1:16" hidden="1">
      <c r="A132" s="49">
        <v>2</v>
      </c>
      <c r="B132" s="69" t="s">
        <v>218</v>
      </c>
      <c r="C132" s="31">
        <v>388</v>
      </c>
      <c r="D132" s="31">
        <v>27.9</v>
      </c>
      <c r="E132" s="31">
        <v>424</v>
      </c>
      <c r="F132" s="31">
        <f t="shared" si="10"/>
        <v>11829.599999999999</v>
      </c>
      <c r="G132" s="31">
        <v>445</v>
      </c>
      <c r="H132" s="31">
        <v>28.2</v>
      </c>
      <c r="I132" s="31">
        <f t="shared" si="11"/>
        <v>12549</v>
      </c>
      <c r="J132" s="32">
        <f t="shared" si="20"/>
        <v>6.0813552444715091E-2</v>
      </c>
      <c r="K132" s="33">
        <f t="shared" si="21"/>
        <v>411.59565834854948</v>
      </c>
      <c r="L132" s="29" t="s">
        <v>14</v>
      </c>
      <c r="M132" s="31">
        <v>0.23</v>
      </c>
    </row>
    <row r="133" spans="1:16" ht="27.95">
      <c r="A133" s="175">
        <v>1</v>
      </c>
      <c r="B133" s="176" t="s">
        <v>219</v>
      </c>
      <c r="C133" s="180">
        <v>14174</v>
      </c>
      <c r="D133" s="180">
        <v>42.7</v>
      </c>
      <c r="E133" s="180">
        <v>336</v>
      </c>
      <c r="F133" s="180">
        <f t="shared" si="10"/>
        <v>14347.2</v>
      </c>
      <c r="G133" s="180">
        <v>416</v>
      </c>
      <c r="H133" s="180">
        <f>D133</f>
        <v>42.7</v>
      </c>
      <c r="I133" s="180">
        <f t="shared" si="11"/>
        <v>17763.2</v>
      </c>
      <c r="J133" s="181">
        <f t="shared" si="20"/>
        <v>0.23809523809523814</v>
      </c>
      <c r="K133" s="182">
        <f t="shared" si="21"/>
        <v>17548.761904761905</v>
      </c>
      <c r="L133" s="183" t="s">
        <v>14</v>
      </c>
      <c r="M133" s="180"/>
      <c r="N133" s="184" t="s">
        <v>161</v>
      </c>
      <c r="O133" s="423" t="s">
        <v>220</v>
      </c>
    </row>
    <row r="134" spans="1:16" ht="56.1" hidden="1">
      <c r="A134" s="175">
        <v>2</v>
      </c>
      <c r="B134" s="176" t="s">
        <v>219</v>
      </c>
      <c r="C134" s="180">
        <v>14174</v>
      </c>
      <c r="D134" s="180">
        <v>42.7</v>
      </c>
      <c r="E134" s="180">
        <v>336</v>
      </c>
      <c r="F134" s="180">
        <f t="shared" si="10"/>
        <v>14347.2</v>
      </c>
      <c r="G134" s="180">
        <v>378</v>
      </c>
      <c r="H134" s="180">
        <v>63.4</v>
      </c>
      <c r="I134" s="180">
        <f t="shared" si="11"/>
        <v>23965.200000000001</v>
      </c>
      <c r="J134" s="181">
        <f t="shared" si="20"/>
        <v>0.67037470725995307</v>
      </c>
      <c r="K134" s="182">
        <f t="shared" si="21"/>
        <v>23675.891100702574</v>
      </c>
      <c r="L134" s="183" t="s">
        <v>14</v>
      </c>
      <c r="M134" s="180"/>
      <c r="N134" s="184"/>
      <c r="O134" s="371" t="s">
        <v>221</v>
      </c>
    </row>
    <row r="135" spans="1:16">
      <c r="A135" s="51">
        <v>1</v>
      </c>
      <c r="B135" s="74" t="s">
        <v>222</v>
      </c>
      <c r="C135" s="52">
        <v>1315</v>
      </c>
      <c r="D135" s="52">
        <v>33.299999999999997</v>
      </c>
      <c r="E135" s="52">
        <v>250</v>
      </c>
      <c r="F135" s="52">
        <f t="shared" si="10"/>
        <v>8325</v>
      </c>
      <c r="G135" s="52">
        <v>260</v>
      </c>
      <c r="H135" s="52">
        <f>D135</f>
        <v>33.299999999999997</v>
      </c>
      <c r="I135" s="52">
        <f t="shared" si="11"/>
        <v>8658</v>
      </c>
      <c r="J135" s="53">
        <f t="shared" si="20"/>
        <v>4.0000000000000036E-2</v>
      </c>
      <c r="K135" s="54">
        <f t="shared" si="21"/>
        <v>1367.6000000000001</v>
      </c>
      <c r="L135" s="55" t="s">
        <v>14</v>
      </c>
      <c r="M135" s="52">
        <v>0.75</v>
      </c>
      <c r="N135" s="56"/>
      <c r="O135" s="432"/>
    </row>
    <row r="136" spans="1:16" hidden="1">
      <c r="A136" s="51">
        <v>2</v>
      </c>
      <c r="B136" s="74" t="s">
        <v>222</v>
      </c>
      <c r="C136" s="52">
        <v>1315</v>
      </c>
      <c r="D136" s="52">
        <v>33.299999999999997</v>
      </c>
      <c r="E136" s="52">
        <v>250</v>
      </c>
      <c r="F136" s="52">
        <f t="shared" si="10"/>
        <v>8325</v>
      </c>
      <c r="G136" s="52">
        <v>260</v>
      </c>
      <c r="H136" s="52">
        <v>46.2</v>
      </c>
      <c r="I136" s="52">
        <f t="shared" si="11"/>
        <v>12012</v>
      </c>
      <c r="J136" s="53">
        <f t="shared" si="20"/>
        <v>0.4428828828828828</v>
      </c>
      <c r="K136" s="54">
        <f t="shared" si="21"/>
        <v>1897.390990990991</v>
      </c>
      <c r="L136" s="56"/>
      <c r="M136" s="52">
        <v>0.65</v>
      </c>
      <c r="N136" s="56"/>
      <c r="O136" s="432"/>
    </row>
    <row r="137" spans="1:16">
      <c r="A137" s="49">
        <v>1</v>
      </c>
      <c r="B137" s="69" t="s">
        <v>223</v>
      </c>
      <c r="C137" s="31">
        <v>298</v>
      </c>
      <c r="D137" s="31">
        <v>30.5</v>
      </c>
      <c r="E137" s="31">
        <v>23.2</v>
      </c>
      <c r="F137" s="31">
        <f t="shared" si="10"/>
        <v>707.6</v>
      </c>
      <c r="G137" s="31">
        <v>32</v>
      </c>
      <c r="H137" s="31">
        <f>D137</f>
        <v>30.5</v>
      </c>
      <c r="I137" s="31">
        <f t="shared" si="11"/>
        <v>976</v>
      </c>
      <c r="J137" s="32">
        <f t="shared" si="20"/>
        <v>0.37931034482758608</v>
      </c>
      <c r="K137" s="33">
        <f t="shared" si="21"/>
        <v>411.03448275862064</v>
      </c>
      <c r="L137" s="29" t="s">
        <v>14</v>
      </c>
      <c r="N137" s="29" t="s">
        <v>35</v>
      </c>
      <c r="O137" s="424" t="s">
        <v>224</v>
      </c>
    </row>
    <row r="138" spans="1:16" hidden="1">
      <c r="A138" s="49">
        <v>2</v>
      </c>
      <c r="B138" s="69" t="s">
        <v>223</v>
      </c>
      <c r="C138" s="31">
        <v>298</v>
      </c>
      <c r="D138" s="31">
        <v>30.5</v>
      </c>
      <c r="E138" s="31">
        <v>23.2</v>
      </c>
      <c r="F138" s="31">
        <f t="shared" si="10"/>
        <v>707.6</v>
      </c>
      <c r="G138" s="31">
        <v>32</v>
      </c>
      <c r="H138" s="31">
        <v>39.1</v>
      </c>
      <c r="I138" s="31">
        <f t="shared" si="11"/>
        <v>1251.2</v>
      </c>
      <c r="J138" s="32">
        <f t="shared" si="20"/>
        <v>0.76823063877897124</v>
      </c>
      <c r="K138" s="33">
        <f t="shared" si="21"/>
        <v>526.93273035613345</v>
      </c>
      <c r="L138" s="29" t="s">
        <v>14</v>
      </c>
    </row>
    <row r="139" spans="1:16" ht="43.5">
      <c r="A139" s="51">
        <v>1</v>
      </c>
      <c r="B139" s="74" t="s">
        <v>225</v>
      </c>
      <c r="C139" s="52">
        <v>110</v>
      </c>
      <c r="D139" s="52">
        <v>31.1</v>
      </c>
      <c r="E139" s="52">
        <v>17.2</v>
      </c>
      <c r="F139" s="52">
        <f t="shared" si="10"/>
        <v>534.91999999999996</v>
      </c>
      <c r="G139" s="52">
        <v>21</v>
      </c>
      <c r="H139" s="52">
        <f>D139</f>
        <v>31.1</v>
      </c>
      <c r="I139" s="52">
        <f t="shared" si="11"/>
        <v>653.1</v>
      </c>
      <c r="J139" s="53">
        <f t="shared" si="20"/>
        <v>0.22093023255813971</v>
      </c>
      <c r="K139" s="54">
        <f t="shared" si="21"/>
        <v>134.30232558139537</v>
      </c>
      <c r="L139" s="55" t="s">
        <v>226</v>
      </c>
      <c r="M139" s="52">
        <v>0.55000000000000004</v>
      </c>
      <c r="N139" s="55" t="s">
        <v>35</v>
      </c>
      <c r="O139" s="433" t="s">
        <v>227</v>
      </c>
    </row>
    <row r="140" spans="1:16" ht="29.1" hidden="1">
      <c r="A140" s="51">
        <v>2</v>
      </c>
      <c r="B140" s="74" t="s">
        <v>225</v>
      </c>
      <c r="C140" s="52">
        <v>110</v>
      </c>
      <c r="D140" s="52">
        <v>31.1</v>
      </c>
      <c r="E140" s="52">
        <v>17.2</v>
      </c>
      <c r="F140" s="52">
        <f t="shared" si="10"/>
        <v>534.91999999999996</v>
      </c>
      <c r="G140" s="52">
        <v>21</v>
      </c>
      <c r="H140" s="52">
        <v>38</v>
      </c>
      <c r="I140" s="52">
        <f t="shared" si="11"/>
        <v>798</v>
      </c>
      <c r="J140" s="53">
        <f t="shared" si="20"/>
        <v>0.49181185971734109</v>
      </c>
      <c r="K140" s="54">
        <f t="shared" si="21"/>
        <v>164.09930456890751</v>
      </c>
      <c r="L140" s="56"/>
      <c r="M140" s="52"/>
      <c r="N140" s="56"/>
      <c r="O140" s="433" t="s">
        <v>228</v>
      </c>
    </row>
    <row r="141" spans="1:16" ht="143.85" customHeight="1">
      <c r="A141" s="488">
        <v>1</v>
      </c>
      <c r="B141" s="489" t="s">
        <v>229</v>
      </c>
      <c r="C141" s="488">
        <v>1365</v>
      </c>
      <c r="D141" s="488">
        <v>90.7</v>
      </c>
      <c r="E141" s="488">
        <v>130</v>
      </c>
      <c r="F141" s="488">
        <f t="shared" si="10"/>
        <v>11791</v>
      </c>
      <c r="G141" s="488">
        <v>225</v>
      </c>
      <c r="H141" s="488">
        <f>D141</f>
        <v>90.7</v>
      </c>
      <c r="I141" s="488">
        <f t="shared" si="11"/>
        <v>20407.5</v>
      </c>
      <c r="J141" s="492">
        <f t="shared" si="20"/>
        <v>0.73076923076923084</v>
      </c>
      <c r="K141" s="493">
        <f t="shared" si="21"/>
        <v>2362.5</v>
      </c>
      <c r="L141" s="489" t="s">
        <v>14</v>
      </c>
      <c r="M141" s="488">
        <v>1.52</v>
      </c>
      <c r="N141" s="34" t="s">
        <v>35</v>
      </c>
      <c r="O141" s="494" t="s">
        <v>230</v>
      </c>
    </row>
    <row r="142" spans="1:16" ht="145.35" hidden="1" customHeight="1">
      <c r="A142" s="490">
        <v>2</v>
      </c>
      <c r="B142" s="491" t="s">
        <v>229</v>
      </c>
      <c r="C142" s="490">
        <v>1365</v>
      </c>
      <c r="D142" s="490">
        <v>90.7</v>
      </c>
      <c r="E142" s="490">
        <v>130</v>
      </c>
      <c r="F142" s="490">
        <f t="shared" si="10"/>
        <v>11791</v>
      </c>
      <c r="G142" s="490">
        <v>225</v>
      </c>
      <c r="H142" s="490">
        <v>88.9</v>
      </c>
      <c r="I142" s="490">
        <f t="shared" si="11"/>
        <v>20002.5</v>
      </c>
      <c r="J142" s="495">
        <f t="shared" si="20"/>
        <v>0.6964209990670851</v>
      </c>
      <c r="K142" s="496">
        <f t="shared" si="21"/>
        <v>2315.6146637265711</v>
      </c>
      <c r="L142" s="491" t="s">
        <v>14</v>
      </c>
      <c r="M142" s="490"/>
      <c r="N142" s="497"/>
      <c r="O142" s="494" t="s">
        <v>231</v>
      </c>
    </row>
    <row r="143" spans="1:16">
      <c r="A143" s="223"/>
      <c r="B143" s="157"/>
      <c r="C143" s="224"/>
      <c r="D143" s="224"/>
      <c r="E143" s="224"/>
      <c r="F143" s="224"/>
      <c r="G143" s="224"/>
      <c r="H143" s="224"/>
      <c r="I143" s="224"/>
      <c r="J143" s="225"/>
      <c r="K143" s="226"/>
      <c r="L143" s="227"/>
      <c r="M143" s="224"/>
      <c r="N143" s="209"/>
      <c r="O143" s="415"/>
    </row>
    <row r="144" spans="1:16">
      <c r="A144" s="228"/>
      <c r="B144" s="218"/>
      <c r="C144" s="219"/>
      <c r="D144" s="219"/>
      <c r="E144" s="219"/>
      <c r="F144" s="219"/>
      <c r="G144" s="219"/>
      <c r="H144" s="219"/>
      <c r="I144" s="219"/>
      <c r="J144" s="220"/>
      <c r="K144" s="221"/>
      <c r="L144" s="222"/>
      <c r="M144" s="219"/>
      <c r="N144" s="209"/>
      <c r="O144" s="415"/>
    </row>
    <row r="145" spans="1:15">
      <c r="A145" s="208"/>
      <c r="B145" s="218"/>
      <c r="C145" s="219"/>
      <c r="D145" s="219"/>
      <c r="E145" s="219"/>
      <c r="F145" s="219"/>
      <c r="G145" s="219"/>
      <c r="H145" s="219"/>
      <c r="I145" s="219"/>
      <c r="J145" s="220"/>
      <c r="K145" s="221"/>
      <c r="L145" s="222"/>
      <c r="M145" s="219"/>
      <c r="N145" s="209"/>
      <c r="O145" s="415"/>
    </row>
    <row r="146" spans="1:15">
      <c r="A146" s="208"/>
      <c r="B146" s="218"/>
      <c r="C146" s="219"/>
      <c r="D146" s="219"/>
      <c r="E146" s="219"/>
      <c r="F146" s="219"/>
      <c r="G146" s="219"/>
      <c r="H146" s="219"/>
      <c r="I146" s="219"/>
      <c r="J146" s="220"/>
      <c r="K146" s="221"/>
      <c r="L146" s="222"/>
      <c r="M146" s="219"/>
      <c r="N146" s="209"/>
      <c r="O146" s="415"/>
    </row>
    <row r="147" spans="1:15">
      <c r="A147" s="208"/>
      <c r="B147" s="218"/>
      <c r="C147" s="219"/>
      <c r="D147" s="219"/>
      <c r="E147" s="219"/>
      <c r="F147" s="219"/>
      <c r="G147" s="219"/>
      <c r="H147" s="219"/>
      <c r="I147" s="219"/>
      <c r="J147" s="220"/>
      <c r="K147" s="221"/>
      <c r="L147" s="229" t="s">
        <v>232</v>
      </c>
      <c r="M147" s="230">
        <f>SUM(M5:M143)</f>
        <v>40.659999999999989</v>
      </c>
      <c r="N147" s="209"/>
      <c r="O147" s="415"/>
    </row>
    <row r="148" spans="1:15">
      <c r="A148" s="208"/>
      <c r="B148" s="218"/>
      <c r="C148" s="219"/>
      <c r="D148" s="219"/>
      <c r="E148" s="219"/>
      <c r="F148" s="219"/>
      <c r="G148" s="219"/>
      <c r="H148" s="219"/>
      <c r="I148" s="219"/>
      <c r="J148" s="220"/>
      <c r="K148" s="221"/>
      <c r="L148" s="222"/>
      <c r="M148" s="219"/>
      <c r="N148" s="209"/>
      <c r="O148" s="415"/>
    </row>
    <row r="149" spans="1:15">
      <c r="A149" s="208"/>
      <c r="B149" s="206" t="s">
        <v>233</v>
      </c>
      <c r="C149" s="213"/>
      <c r="D149" s="213"/>
      <c r="E149" s="213"/>
      <c r="F149" s="213"/>
      <c r="G149" s="213"/>
      <c r="H149" s="213"/>
      <c r="I149" s="213"/>
      <c r="J149" s="214"/>
      <c r="K149" s="215"/>
      <c r="L149" s="207"/>
      <c r="M149" s="213">
        <v>0</v>
      </c>
      <c r="N149" s="209"/>
    </row>
    <row r="150" spans="1:15">
      <c r="A150" s="208"/>
      <c r="B150" s="206" t="s">
        <v>234</v>
      </c>
      <c r="C150" s="213"/>
      <c r="D150" s="213"/>
      <c r="E150" s="213"/>
      <c r="F150" s="213"/>
      <c r="G150" s="213"/>
      <c r="H150" s="213"/>
      <c r="I150" s="213"/>
      <c r="J150" s="214"/>
      <c r="K150" s="215"/>
      <c r="L150" s="207"/>
      <c r="M150" s="213">
        <v>2.4700000000000002</v>
      </c>
      <c r="N150" s="209"/>
    </row>
    <row r="151" spans="1:15">
      <c r="A151" s="208"/>
      <c r="B151" s="206" t="s">
        <v>235</v>
      </c>
      <c r="C151" s="213"/>
      <c r="D151" s="213"/>
      <c r="E151" s="213"/>
      <c r="F151" s="213"/>
      <c r="G151" s="213"/>
      <c r="H151" s="213"/>
      <c r="I151" s="213"/>
      <c r="J151" s="213"/>
      <c r="K151" s="213"/>
      <c r="L151" s="207"/>
      <c r="M151" s="213">
        <v>0.79</v>
      </c>
      <c r="N151" s="209"/>
    </row>
    <row r="152" spans="1:15">
      <c r="A152" s="208"/>
      <c r="B152" s="206" t="s">
        <v>236</v>
      </c>
      <c r="C152" s="213"/>
      <c r="D152" s="213"/>
      <c r="E152" s="213"/>
      <c r="F152" s="213"/>
      <c r="G152" s="213"/>
      <c r="H152" s="213"/>
      <c r="I152" s="213"/>
      <c r="J152" s="213"/>
      <c r="K152" s="213"/>
      <c r="L152" s="207"/>
      <c r="M152" s="213">
        <v>0.3</v>
      </c>
      <c r="N152" s="209"/>
    </row>
    <row r="153" spans="1:15">
      <c r="A153" s="208"/>
      <c r="B153" s="206" t="s">
        <v>237</v>
      </c>
      <c r="C153" s="213"/>
      <c r="D153" s="213"/>
      <c r="E153" s="213"/>
      <c r="F153" s="213"/>
      <c r="G153" s="213"/>
      <c r="H153" s="213"/>
      <c r="I153" s="213"/>
      <c r="J153" s="213"/>
      <c r="K153" s="213"/>
      <c r="L153" s="207"/>
      <c r="M153" s="213">
        <v>0.43</v>
      </c>
      <c r="N153" s="209"/>
    </row>
    <row r="154" spans="1:15">
      <c r="A154" s="208"/>
      <c r="B154" s="206" t="s">
        <v>163</v>
      </c>
      <c r="C154" s="213"/>
      <c r="D154" s="213"/>
      <c r="E154" s="213"/>
      <c r="F154" s="213"/>
      <c r="G154" s="213"/>
      <c r="H154" s="213"/>
      <c r="I154" s="213"/>
      <c r="J154" s="213"/>
      <c r="K154" s="213"/>
      <c r="L154" s="207"/>
      <c r="M154" s="213">
        <v>4.12</v>
      </c>
      <c r="N154" s="209"/>
    </row>
    <row r="155" spans="1:15">
      <c r="A155" s="208"/>
      <c r="B155" s="207"/>
      <c r="C155" s="213"/>
      <c r="D155" s="213"/>
      <c r="E155" s="213"/>
      <c r="F155" s="213"/>
      <c r="G155" s="213"/>
      <c r="H155" s="213"/>
      <c r="I155" s="213"/>
      <c r="J155" s="213"/>
      <c r="K155" s="213"/>
      <c r="L155" s="207"/>
      <c r="M155" s="213"/>
      <c r="N155" s="209"/>
    </row>
    <row r="156" spans="1:15">
      <c r="A156" s="208"/>
      <c r="B156" s="207"/>
      <c r="C156" s="213"/>
      <c r="D156" s="213"/>
      <c r="E156" s="213"/>
      <c r="F156" s="213"/>
      <c r="G156" s="213"/>
      <c r="H156" s="213"/>
      <c r="I156" s="213"/>
      <c r="J156" s="213"/>
      <c r="K156" s="213"/>
      <c r="L156" s="216" t="s">
        <v>232</v>
      </c>
      <c r="M156" s="217">
        <f>SUM(M149:M155)</f>
        <v>8.11</v>
      </c>
      <c r="N156" s="209"/>
    </row>
    <row r="157" spans="1:15">
      <c r="B157" s="210"/>
      <c r="C157" s="211"/>
      <c r="D157" s="211"/>
      <c r="E157" s="211"/>
      <c r="F157" s="211"/>
      <c r="G157" s="211"/>
      <c r="H157" s="211"/>
      <c r="I157" s="211"/>
      <c r="J157" s="211"/>
      <c r="K157" s="211"/>
      <c r="L157" s="212"/>
      <c r="M157" s="211"/>
    </row>
    <row r="158" spans="1:15" ht="27.95">
      <c r="L158" s="374" t="s">
        <v>238</v>
      </c>
      <c r="M158" s="360">
        <f>M147+M156</f>
        <v>48.769999999999989</v>
      </c>
    </row>
  </sheetData>
  <autoFilter ref="A1:O142" xr:uid="{40723A12-C666-46FF-8BD9-B2A2082984BD}">
    <filterColumn colId="0">
      <filters>
        <filter val="1"/>
      </filters>
    </filterColumn>
  </autoFilter>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B7C1-3343-4337-AA73-A47642492FEF}">
  <sheetPr filterMode="1"/>
  <dimension ref="A1:O88"/>
  <sheetViews>
    <sheetView workbookViewId="0">
      <selection activeCell="E54" sqref="E54"/>
    </sheetView>
  </sheetViews>
  <sheetFormatPr defaultRowHeight="14.45"/>
  <cols>
    <col min="1" max="1" width="26.28515625" style="378" customWidth="1"/>
    <col min="2" max="3" width="0" style="378" hidden="1" customWidth="1"/>
    <col min="4" max="4" width="0.28515625" style="378" customWidth="1"/>
    <col min="5" max="5" width="11.28515625" style="378" customWidth="1"/>
    <col min="6" max="6" width="9.42578125" style="378" bestFit="1" customWidth="1"/>
    <col min="7" max="7" width="13.28515625" style="378" customWidth="1"/>
    <col min="8" max="8" width="9.28515625" style="1"/>
    <col min="9" max="9" width="12.28515625" style="1" customWidth="1"/>
    <col min="10" max="10" width="14.28515625" customWidth="1"/>
    <col min="11" max="11" width="9.7109375" bestFit="1" customWidth="1"/>
  </cols>
  <sheetData>
    <row r="1" spans="1:9">
      <c r="A1" s="18" t="s">
        <v>1437</v>
      </c>
      <c r="B1" s="18" t="s">
        <v>1438</v>
      </c>
      <c r="C1" s="18" t="s">
        <v>1439</v>
      </c>
      <c r="D1" s="18" t="s">
        <v>1440</v>
      </c>
      <c r="E1" s="18" t="s">
        <v>1441</v>
      </c>
      <c r="F1" s="18" t="s">
        <v>1442</v>
      </c>
      <c r="G1" s="18" t="s">
        <v>1443</v>
      </c>
      <c r="H1" s="18" t="s">
        <v>1444</v>
      </c>
      <c r="I1" s="18" t="s">
        <v>1445</v>
      </c>
    </row>
    <row r="2" spans="1:9">
      <c r="A2" s="1231" t="s">
        <v>1073</v>
      </c>
      <c r="B2" s="400">
        <v>74</v>
      </c>
      <c r="C2" s="400">
        <v>528.57000000000005</v>
      </c>
      <c r="D2" s="400">
        <v>520.35</v>
      </c>
      <c r="E2" s="1231">
        <v>0.39</v>
      </c>
      <c r="F2" s="1231">
        <v>-608.29999999999995</v>
      </c>
      <c r="G2" s="1231">
        <v>-1.56</v>
      </c>
      <c r="H2" s="1" t="s">
        <v>562</v>
      </c>
      <c r="I2" s="1" t="s">
        <v>58</v>
      </c>
    </row>
    <row r="3" spans="1:9">
      <c r="A3" s="1012" t="s">
        <v>1073</v>
      </c>
      <c r="B3" s="1012"/>
      <c r="C3" s="1012"/>
      <c r="D3" s="1012"/>
      <c r="E3" s="1012">
        <v>0.39</v>
      </c>
      <c r="F3" s="1012">
        <v>88.5</v>
      </c>
      <c r="G3" s="1226">
        <v>2.3E-3</v>
      </c>
      <c r="H3" s="1" t="s">
        <v>1446</v>
      </c>
      <c r="I3" s="1" t="s">
        <v>58</v>
      </c>
    </row>
    <row r="4" spans="1:9">
      <c r="A4" s="1227" t="s">
        <v>1073</v>
      </c>
      <c r="B4" s="1227"/>
      <c r="C4" s="1227"/>
      <c r="D4" s="1227"/>
      <c r="E4" s="1227">
        <v>0.55000000000000004</v>
      </c>
      <c r="F4" s="1227"/>
      <c r="G4" s="1227"/>
      <c r="H4" s="1" t="s">
        <v>490</v>
      </c>
      <c r="I4" s="1" t="s">
        <v>58</v>
      </c>
    </row>
    <row r="5" spans="1:9" hidden="1">
      <c r="A5" s="1227" t="s">
        <v>1447</v>
      </c>
      <c r="B5" s="1227"/>
      <c r="C5" s="1227"/>
      <c r="D5" s="1227"/>
      <c r="E5" s="1227">
        <v>2.86</v>
      </c>
      <c r="F5" s="1227"/>
      <c r="G5" s="1227"/>
      <c r="I5" s="1" t="s">
        <v>1448</v>
      </c>
    </row>
    <row r="6" spans="1:9" hidden="1">
      <c r="A6" s="1181" t="s">
        <v>1449</v>
      </c>
      <c r="B6" s="1111">
        <v>218</v>
      </c>
      <c r="C6" s="1111">
        <v>790.12</v>
      </c>
      <c r="D6" s="1111">
        <v>716.05</v>
      </c>
      <c r="E6" s="1181">
        <v>1.56</v>
      </c>
      <c r="F6" s="1181">
        <v>-16146.95</v>
      </c>
      <c r="G6" s="1181">
        <v>-9.3699999999999992</v>
      </c>
      <c r="I6" s="567" t="s">
        <v>74</v>
      </c>
    </row>
    <row r="7" spans="1:9">
      <c r="A7" s="1227" t="s">
        <v>1450</v>
      </c>
      <c r="B7" s="1227"/>
      <c r="C7" s="1227"/>
      <c r="D7" s="1227"/>
      <c r="E7" s="1227">
        <v>0.72</v>
      </c>
      <c r="F7" s="1227"/>
      <c r="G7" s="1227"/>
      <c r="I7" s="1" t="s">
        <v>58</v>
      </c>
    </row>
    <row r="8" spans="1:9">
      <c r="A8" s="1231" t="s">
        <v>591</v>
      </c>
      <c r="B8" s="400">
        <v>69</v>
      </c>
      <c r="C8" s="400">
        <v>1538.76</v>
      </c>
      <c r="D8" s="400">
        <v>1547.05</v>
      </c>
      <c r="E8" s="1231">
        <v>1.07</v>
      </c>
      <c r="F8" s="1231">
        <v>571.85</v>
      </c>
      <c r="G8" s="1231">
        <v>0.54</v>
      </c>
      <c r="I8" s="1" t="s">
        <v>58</v>
      </c>
    </row>
    <row r="9" spans="1:9">
      <c r="A9" s="1231" t="s">
        <v>57</v>
      </c>
      <c r="B9" s="400">
        <v>25</v>
      </c>
      <c r="C9" s="400">
        <v>2511</v>
      </c>
      <c r="D9" s="400">
        <v>2905</v>
      </c>
      <c r="E9" s="1231">
        <v>0.73</v>
      </c>
      <c r="F9" s="1231">
        <v>9850</v>
      </c>
      <c r="G9" s="1231">
        <v>15.69</v>
      </c>
      <c r="I9" s="1" t="s">
        <v>58</v>
      </c>
    </row>
    <row r="10" spans="1:9" hidden="1">
      <c r="A10" s="1181" t="s">
        <v>1451</v>
      </c>
      <c r="B10" s="1111">
        <v>112</v>
      </c>
      <c r="C10" s="1111">
        <v>780.32</v>
      </c>
      <c r="D10" s="1111">
        <v>758.7</v>
      </c>
      <c r="E10" s="1181">
        <v>0.85</v>
      </c>
      <c r="F10" s="1181">
        <v>-2421.6</v>
      </c>
      <c r="G10" s="1181">
        <v>-2.77</v>
      </c>
      <c r="I10" s="567" t="s">
        <v>74</v>
      </c>
    </row>
    <row r="11" spans="1:9" hidden="1">
      <c r="A11" s="1231" t="s">
        <v>580</v>
      </c>
      <c r="B11" s="400">
        <v>250</v>
      </c>
      <c r="C11" s="400">
        <v>800.05</v>
      </c>
      <c r="D11" s="400">
        <v>870</v>
      </c>
      <c r="E11" s="1231">
        <v>2.1800000000000002</v>
      </c>
      <c r="F11" s="1231">
        <v>17487.5</v>
      </c>
      <c r="G11" s="1231">
        <v>8.74</v>
      </c>
      <c r="I11" s="1" t="s">
        <v>1448</v>
      </c>
    </row>
    <row r="12" spans="1:9" hidden="1">
      <c r="A12" s="1228" t="s">
        <v>621</v>
      </c>
      <c r="B12" s="1228"/>
      <c r="C12" s="1228"/>
      <c r="D12" s="1228"/>
      <c r="E12" s="1228">
        <v>0.56999999999999995</v>
      </c>
      <c r="F12" s="1228"/>
      <c r="G12" s="1228"/>
      <c r="I12" s="567" t="s">
        <v>74</v>
      </c>
    </row>
    <row r="13" spans="1:9" hidden="1">
      <c r="A13" s="1181" t="s">
        <v>621</v>
      </c>
      <c r="B13" s="1111">
        <v>58</v>
      </c>
      <c r="C13" s="1111">
        <v>1087.76</v>
      </c>
      <c r="D13" s="1111">
        <v>932.6</v>
      </c>
      <c r="E13" s="1181">
        <v>0.54</v>
      </c>
      <c r="F13" s="1181">
        <v>-8999.2000000000007</v>
      </c>
      <c r="G13" s="1181">
        <v>-14.26</v>
      </c>
      <c r="I13" s="567" t="s">
        <v>74</v>
      </c>
    </row>
    <row r="14" spans="1:9" hidden="1">
      <c r="A14" s="1181" t="s">
        <v>1452</v>
      </c>
      <c r="B14" s="1111">
        <v>85</v>
      </c>
      <c r="C14" s="1111">
        <v>578.24</v>
      </c>
      <c r="D14" s="1111">
        <v>574.25</v>
      </c>
      <c r="E14" s="1181">
        <v>0.49</v>
      </c>
      <c r="F14" s="1181">
        <v>-339.25</v>
      </c>
      <c r="G14" s="1181">
        <v>-0.69</v>
      </c>
      <c r="I14" s="567" t="s">
        <v>74</v>
      </c>
    </row>
    <row r="15" spans="1:9" hidden="1">
      <c r="A15" s="1229" t="s">
        <v>1452</v>
      </c>
      <c r="B15" s="1229"/>
      <c r="C15" s="1229"/>
      <c r="D15" s="1229"/>
      <c r="E15" s="1229">
        <v>0.88</v>
      </c>
      <c r="F15" s="1229">
        <v>-2220.6799999999998</v>
      </c>
      <c r="G15" s="1230">
        <v>-2.4500000000000001E-2</v>
      </c>
      <c r="I15" s="567" t="s">
        <v>74</v>
      </c>
    </row>
    <row r="16" spans="1:9">
      <c r="A16" s="1012" t="s">
        <v>502</v>
      </c>
      <c r="B16" s="1012"/>
      <c r="C16" s="1012"/>
      <c r="D16" s="1012"/>
      <c r="E16" s="1012">
        <v>0.25</v>
      </c>
      <c r="F16" s="1012">
        <v>498.4</v>
      </c>
      <c r="G16" s="1226">
        <v>2.06E-2</v>
      </c>
      <c r="I16" s="1" t="s">
        <v>58</v>
      </c>
    </row>
    <row r="17" spans="1:9" hidden="1">
      <c r="A17" s="1181" t="s">
        <v>599</v>
      </c>
      <c r="B17" s="1111">
        <v>4</v>
      </c>
      <c r="C17" s="1111">
        <v>855</v>
      </c>
      <c r="D17" s="1111">
        <v>709.15</v>
      </c>
      <c r="E17" s="1181">
        <v>0.03</v>
      </c>
      <c r="F17" s="1181">
        <v>-583.4</v>
      </c>
      <c r="G17" s="1181">
        <v>-17.059999999999999</v>
      </c>
      <c r="I17" s="567" t="s">
        <v>74</v>
      </c>
    </row>
    <row r="18" spans="1:9" hidden="1">
      <c r="A18" s="1229" t="s">
        <v>599</v>
      </c>
      <c r="B18" s="1229"/>
      <c r="C18" s="1229"/>
      <c r="D18" s="1229"/>
      <c r="E18" s="1229">
        <v>0.67</v>
      </c>
      <c r="F18" s="1229">
        <v>-14577.75</v>
      </c>
      <c r="G18" s="1230">
        <v>-0.17760000000000001</v>
      </c>
      <c r="I18" s="567" t="s">
        <v>74</v>
      </c>
    </row>
    <row r="19" spans="1:9" hidden="1">
      <c r="A19" s="1229" t="s">
        <v>623</v>
      </c>
      <c r="B19" s="1229"/>
      <c r="C19" s="1229"/>
      <c r="D19" s="1229"/>
      <c r="E19" s="1229">
        <v>0.88</v>
      </c>
      <c r="F19" s="1229">
        <v>-795.6</v>
      </c>
      <c r="G19" s="1230">
        <v>-8.9999999999999993E-3</v>
      </c>
      <c r="I19" s="567" t="s">
        <v>74</v>
      </c>
    </row>
    <row r="20" spans="1:9" hidden="1">
      <c r="A20" s="1229" t="s">
        <v>235</v>
      </c>
      <c r="B20" s="1229"/>
      <c r="C20" s="1229"/>
      <c r="D20" s="1229"/>
      <c r="E20" s="1229">
        <v>0.77</v>
      </c>
      <c r="F20" s="1229">
        <v>-2360.5</v>
      </c>
      <c r="G20" s="1230">
        <v>-2.9700000000000001E-2</v>
      </c>
      <c r="I20" s="567" t="s">
        <v>74</v>
      </c>
    </row>
    <row r="21" spans="1:9" hidden="1">
      <c r="A21" s="1229" t="s">
        <v>610</v>
      </c>
      <c r="B21" s="1229"/>
      <c r="C21" s="1229"/>
      <c r="D21" s="1229"/>
      <c r="E21" s="1229">
        <v>0.08</v>
      </c>
      <c r="F21" s="1229">
        <v>-1775.9</v>
      </c>
      <c r="G21" s="1230">
        <v>-0.18770000000000001</v>
      </c>
      <c r="I21" s="567" t="s">
        <v>74</v>
      </c>
    </row>
    <row r="22" spans="1:9" hidden="1">
      <c r="A22" s="1231" t="s">
        <v>1453</v>
      </c>
      <c r="B22" s="400">
        <v>250</v>
      </c>
      <c r="C22" s="400">
        <v>411</v>
      </c>
      <c r="D22" s="400">
        <v>508.25</v>
      </c>
      <c r="E22" s="1231">
        <v>1.27</v>
      </c>
      <c r="F22" s="1231">
        <v>24312.5</v>
      </c>
      <c r="G22" s="1231">
        <v>23.66</v>
      </c>
      <c r="I22" s="1" t="s">
        <v>1448</v>
      </c>
    </row>
    <row r="23" spans="1:9" hidden="1">
      <c r="A23" s="1229" t="s">
        <v>236</v>
      </c>
      <c r="B23" s="1229"/>
      <c r="C23" s="1229"/>
      <c r="D23" s="1229"/>
      <c r="E23" s="1229">
        <v>0.25</v>
      </c>
      <c r="F23" s="1229">
        <v>-5506.4</v>
      </c>
      <c r="G23" s="1230">
        <v>-0.18160000000000001</v>
      </c>
      <c r="I23" s="567" t="s">
        <v>74</v>
      </c>
    </row>
    <row r="24" spans="1:9">
      <c r="A24" s="1231" t="s">
        <v>607</v>
      </c>
      <c r="B24" s="400">
        <v>11</v>
      </c>
      <c r="C24" s="400">
        <v>4802.2700000000004</v>
      </c>
      <c r="D24" s="400">
        <v>4769.8999999999996</v>
      </c>
      <c r="E24" s="1231">
        <v>0.52</v>
      </c>
      <c r="F24" s="1231">
        <v>-356.1</v>
      </c>
      <c r="G24" s="1231">
        <v>-0.67</v>
      </c>
      <c r="I24" s="1" t="s">
        <v>58</v>
      </c>
    </row>
    <row r="25" spans="1:9">
      <c r="A25" s="1012" t="s">
        <v>607</v>
      </c>
      <c r="B25" s="1012"/>
      <c r="C25" s="1012"/>
      <c r="D25" s="1012"/>
      <c r="E25" s="1012">
        <v>0.86</v>
      </c>
      <c r="F25" s="1012">
        <v>-7208.64</v>
      </c>
      <c r="G25" s="1226">
        <v>-7.7499999999999999E-2</v>
      </c>
      <c r="I25" s="1" t="s">
        <v>58</v>
      </c>
    </row>
    <row r="26" spans="1:9">
      <c r="A26" s="1012" t="s">
        <v>626</v>
      </c>
      <c r="B26" s="1012"/>
      <c r="C26" s="1012"/>
      <c r="D26" s="1012"/>
      <c r="E26" s="1012">
        <v>0.36</v>
      </c>
      <c r="F26" s="1012">
        <v>-267.7</v>
      </c>
      <c r="G26" s="1226">
        <v>-7.3000000000000001E-3</v>
      </c>
      <c r="I26" s="1" t="s">
        <v>58</v>
      </c>
    </row>
    <row r="27" spans="1:9">
      <c r="A27" s="1231" t="s">
        <v>612</v>
      </c>
      <c r="B27" s="400">
        <v>56</v>
      </c>
      <c r="C27" s="400">
        <v>184.86</v>
      </c>
      <c r="D27" s="400">
        <v>170.5</v>
      </c>
      <c r="E27" s="1231">
        <v>0.1</v>
      </c>
      <c r="F27" s="1231">
        <v>-804.05</v>
      </c>
      <c r="G27" s="1231">
        <v>-7.77</v>
      </c>
      <c r="I27" s="1" t="s">
        <v>58</v>
      </c>
    </row>
    <row r="28" spans="1:9">
      <c r="A28" s="1012" t="s">
        <v>612</v>
      </c>
      <c r="B28" s="1012"/>
      <c r="C28" s="1012"/>
      <c r="D28" s="1012"/>
      <c r="E28" s="1012">
        <v>0.14000000000000001</v>
      </c>
      <c r="F28" s="1012">
        <v>-897.6</v>
      </c>
      <c r="G28" s="1226">
        <v>-6.1699999999999998E-2</v>
      </c>
      <c r="I28" s="1" t="s">
        <v>58</v>
      </c>
    </row>
    <row r="29" spans="1:9" hidden="1">
      <c r="A29" s="1229" t="s">
        <v>377</v>
      </c>
      <c r="B29" s="1229"/>
      <c r="C29" s="1229"/>
      <c r="D29" s="1229"/>
      <c r="E29" s="1229">
        <v>0.61</v>
      </c>
      <c r="F29" s="1229">
        <v>-6531.3</v>
      </c>
      <c r="G29" s="1230">
        <v>-9.6799999999999997E-2</v>
      </c>
      <c r="I29" s="567" t="s">
        <v>74</v>
      </c>
    </row>
    <row r="30" spans="1:9">
      <c r="A30" s="1231" t="s">
        <v>275</v>
      </c>
      <c r="B30" s="400">
        <v>235</v>
      </c>
      <c r="C30" s="400">
        <v>207.28</v>
      </c>
      <c r="D30" s="400">
        <v>201.37</v>
      </c>
      <c r="E30" s="1231">
        <v>0.47</v>
      </c>
      <c r="F30" s="1231">
        <v>-1388.05</v>
      </c>
      <c r="G30" s="1231">
        <v>-2.85</v>
      </c>
      <c r="I30" s="1" t="s">
        <v>58</v>
      </c>
    </row>
    <row r="31" spans="1:9">
      <c r="A31" s="1231" t="s">
        <v>1454</v>
      </c>
      <c r="B31" s="400">
        <v>60</v>
      </c>
      <c r="C31" s="400">
        <v>1857.9</v>
      </c>
      <c r="D31" s="400">
        <v>1989.25</v>
      </c>
      <c r="E31" s="1231">
        <v>1.19</v>
      </c>
      <c r="F31" s="1231">
        <v>7881</v>
      </c>
      <c r="G31" s="1231">
        <v>7.07</v>
      </c>
      <c r="I31" s="1" t="s">
        <v>58</v>
      </c>
    </row>
    <row r="32" spans="1:9">
      <c r="A32" s="1231" t="s">
        <v>541</v>
      </c>
      <c r="B32" s="400">
        <v>100</v>
      </c>
      <c r="C32" s="400">
        <v>245.9</v>
      </c>
      <c r="D32" s="400">
        <v>225.95</v>
      </c>
      <c r="E32" s="1231">
        <v>0.23</v>
      </c>
      <c r="F32" s="1231">
        <v>-1995</v>
      </c>
      <c r="G32" s="1231">
        <v>-8.11</v>
      </c>
      <c r="I32" s="1" t="s">
        <v>58</v>
      </c>
    </row>
    <row r="33" spans="1:9">
      <c r="A33" s="1012" t="s">
        <v>541</v>
      </c>
      <c r="B33" s="1012"/>
      <c r="C33" s="1012"/>
      <c r="D33" s="1012"/>
      <c r="E33" s="1012">
        <v>2.13</v>
      </c>
      <c r="F33" s="1012">
        <v>-3473.92</v>
      </c>
      <c r="G33" s="1226">
        <v>-1.61E-2</v>
      </c>
      <c r="I33" s="1" t="s">
        <v>58</v>
      </c>
    </row>
    <row r="34" spans="1:9">
      <c r="A34" s="1231" t="s">
        <v>1455</v>
      </c>
      <c r="B34" s="400">
        <v>9</v>
      </c>
      <c r="C34" s="400">
        <v>1787</v>
      </c>
      <c r="D34" s="400">
        <v>1790.65</v>
      </c>
      <c r="E34" s="1231">
        <v>0.16</v>
      </c>
      <c r="F34" s="1231">
        <v>32.85</v>
      </c>
      <c r="G34" s="1231">
        <v>0.2</v>
      </c>
      <c r="I34" s="1" t="s">
        <v>58</v>
      </c>
    </row>
    <row r="35" spans="1:9">
      <c r="A35" s="1231" t="s">
        <v>628</v>
      </c>
      <c r="B35" s="400">
        <v>10</v>
      </c>
      <c r="C35" s="400">
        <v>4252</v>
      </c>
      <c r="D35" s="400">
        <v>4516.05</v>
      </c>
      <c r="E35" s="1231">
        <v>0.45</v>
      </c>
      <c r="F35" s="1231">
        <v>2640.5</v>
      </c>
      <c r="G35" s="1231">
        <v>6.21</v>
      </c>
      <c r="I35" s="1" t="s">
        <v>58</v>
      </c>
    </row>
    <row r="36" spans="1:9">
      <c r="A36" s="1012" t="s">
        <v>628</v>
      </c>
      <c r="B36" s="1012"/>
      <c r="C36" s="1012"/>
      <c r="D36" s="1012"/>
      <c r="E36" s="1012">
        <v>0.18</v>
      </c>
      <c r="F36" s="1012">
        <v>42.12</v>
      </c>
      <c r="G36" s="1226">
        <v>2.3E-3</v>
      </c>
      <c r="I36" s="1" t="s">
        <v>58</v>
      </c>
    </row>
    <row r="37" spans="1:9">
      <c r="A37" s="1012" t="s">
        <v>564</v>
      </c>
      <c r="B37" s="1012"/>
      <c r="C37" s="1012"/>
      <c r="D37" s="1012"/>
      <c r="E37" s="1012">
        <v>3.98</v>
      </c>
      <c r="F37" s="1012">
        <v>-15265.96</v>
      </c>
      <c r="G37" s="1226">
        <v>-3.6999999999999998E-2</v>
      </c>
      <c r="I37" s="1" t="s">
        <v>58</v>
      </c>
    </row>
    <row r="38" spans="1:9">
      <c r="A38" s="1232" t="s">
        <v>629</v>
      </c>
      <c r="B38" s="1227"/>
      <c r="C38" s="1227"/>
      <c r="D38" s="1227"/>
      <c r="E38" s="1232">
        <v>0.51</v>
      </c>
      <c r="F38" s="1227"/>
      <c r="G38" s="1227"/>
      <c r="I38" s="1" t="s">
        <v>58</v>
      </c>
    </row>
    <row r="39" spans="1:9">
      <c r="A39" s="1231" t="s">
        <v>629</v>
      </c>
      <c r="B39" s="400">
        <v>229</v>
      </c>
      <c r="C39" s="400">
        <v>394.08</v>
      </c>
      <c r="D39" s="400">
        <v>390.1</v>
      </c>
      <c r="E39" s="1231">
        <v>0.89</v>
      </c>
      <c r="F39" s="1231">
        <v>-910.65</v>
      </c>
      <c r="G39" s="1231">
        <v>-1.01</v>
      </c>
      <c r="I39" s="1" t="s">
        <v>58</v>
      </c>
    </row>
    <row r="40" spans="1:9">
      <c r="A40" s="1231" t="s">
        <v>608</v>
      </c>
      <c r="B40" s="400">
        <v>12</v>
      </c>
      <c r="C40" s="400">
        <v>6440.27</v>
      </c>
      <c r="D40" s="400">
        <v>6526.95</v>
      </c>
      <c r="E40" s="1231">
        <v>0.78</v>
      </c>
      <c r="F40" s="1231">
        <v>1040.2</v>
      </c>
      <c r="G40" s="1231">
        <v>1.35</v>
      </c>
      <c r="I40" s="1" t="s">
        <v>58</v>
      </c>
    </row>
    <row r="41" spans="1:9">
      <c r="A41" s="1012" t="s">
        <v>608</v>
      </c>
      <c r="B41" s="1012"/>
      <c r="C41" s="1012"/>
      <c r="D41" s="1012"/>
      <c r="E41" s="1012">
        <v>7.0000000000000007E-2</v>
      </c>
      <c r="F41" s="1012">
        <v>-736.04</v>
      </c>
      <c r="G41" s="1226">
        <v>-0.1013</v>
      </c>
      <c r="I41" s="1" t="s">
        <v>58</v>
      </c>
    </row>
    <row r="42" spans="1:9">
      <c r="A42" s="1012" t="s">
        <v>608</v>
      </c>
      <c r="B42" s="1227"/>
      <c r="C42" s="1227"/>
      <c r="D42" s="1227"/>
      <c r="E42" s="1227">
        <v>0.98</v>
      </c>
      <c r="F42" s="1227"/>
      <c r="G42" s="1227"/>
      <c r="I42" s="1" t="s">
        <v>58</v>
      </c>
    </row>
    <row r="43" spans="1:9" hidden="1">
      <c r="A43" s="1181" t="s">
        <v>592</v>
      </c>
      <c r="B43" s="1111">
        <v>20</v>
      </c>
      <c r="C43" s="1111">
        <v>1384</v>
      </c>
      <c r="D43" s="1111">
        <v>1270</v>
      </c>
      <c r="E43" s="1181">
        <v>0.25</v>
      </c>
      <c r="F43" s="1181">
        <v>-2280</v>
      </c>
      <c r="G43" s="1181">
        <v>-8.24</v>
      </c>
      <c r="I43" s="567" t="s">
        <v>74</v>
      </c>
    </row>
    <row r="44" spans="1:9" hidden="1">
      <c r="A44" s="1229" t="s">
        <v>592</v>
      </c>
      <c r="B44" s="1229"/>
      <c r="C44" s="1229"/>
      <c r="D44" s="1229"/>
      <c r="E44" s="1229">
        <v>0.01</v>
      </c>
      <c r="F44" s="1229">
        <v>-173.11</v>
      </c>
      <c r="G44" s="1230">
        <v>-0.1197</v>
      </c>
      <c r="I44" s="567" t="s">
        <v>74</v>
      </c>
    </row>
    <row r="45" spans="1:9" hidden="1">
      <c r="A45" s="1231" t="s">
        <v>631</v>
      </c>
      <c r="B45" s="400">
        <v>2000</v>
      </c>
      <c r="C45" s="400">
        <v>134.05000000000001</v>
      </c>
      <c r="D45" s="400">
        <v>125.35</v>
      </c>
      <c r="E45" s="1231">
        <v>2.5099999999999998</v>
      </c>
      <c r="F45" s="1231">
        <v>-17400</v>
      </c>
      <c r="G45" s="1231">
        <v>-6.49</v>
      </c>
      <c r="H45" s="1" t="s">
        <v>507</v>
      </c>
      <c r="I45" s="1" t="s">
        <v>1448</v>
      </c>
    </row>
    <row r="46" spans="1:9" hidden="1">
      <c r="A46" s="1229" t="s">
        <v>600</v>
      </c>
      <c r="B46" s="1229"/>
      <c r="C46" s="1229"/>
      <c r="D46" s="1229"/>
      <c r="E46" s="1229">
        <v>1.44</v>
      </c>
      <c r="F46" s="1229">
        <v>-103217.7</v>
      </c>
      <c r="G46" s="1230">
        <v>-0.41770000000000002</v>
      </c>
      <c r="I46" s="567" t="s">
        <v>74</v>
      </c>
    </row>
    <row r="47" spans="1:9" hidden="1">
      <c r="A47" s="1229" t="s">
        <v>613</v>
      </c>
      <c r="B47" s="1229"/>
      <c r="C47" s="1229"/>
      <c r="D47" s="1229"/>
      <c r="E47" s="1229">
        <v>0.13</v>
      </c>
      <c r="F47" s="1229">
        <v>-1043</v>
      </c>
      <c r="G47" s="1230">
        <v>-7.6399999999999996E-2</v>
      </c>
      <c r="I47" s="567" t="s">
        <v>74</v>
      </c>
    </row>
    <row r="48" spans="1:9" hidden="1">
      <c r="A48" s="1231" t="s">
        <v>632</v>
      </c>
      <c r="B48" s="400">
        <v>99</v>
      </c>
      <c r="C48" s="400">
        <v>753.46</v>
      </c>
      <c r="D48" s="400">
        <v>759</v>
      </c>
      <c r="E48" s="1231">
        <v>0.75</v>
      </c>
      <c r="F48" s="1231">
        <v>548.35</v>
      </c>
      <c r="G48" s="1231">
        <v>0.74</v>
      </c>
      <c r="I48" s="1" t="s">
        <v>1448</v>
      </c>
    </row>
    <row r="49" spans="1:9" hidden="1">
      <c r="A49" s="1012" t="s">
        <v>632</v>
      </c>
      <c r="B49" s="1012"/>
      <c r="C49" s="1012"/>
      <c r="D49" s="1012"/>
      <c r="E49" s="1012">
        <v>0.68</v>
      </c>
      <c r="F49" s="1012">
        <v>-5402.7</v>
      </c>
      <c r="G49" s="1226">
        <v>-7.3300000000000004E-2</v>
      </c>
      <c r="I49" s="1" t="s">
        <v>1448</v>
      </c>
    </row>
    <row r="50" spans="1:9" hidden="1">
      <c r="A50" s="1231" t="s">
        <v>601</v>
      </c>
      <c r="B50" s="400">
        <v>178</v>
      </c>
      <c r="C50" s="400">
        <v>267.92</v>
      </c>
      <c r="D50" s="400">
        <v>304</v>
      </c>
      <c r="E50" s="1231">
        <v>0.54</v>
      </c>
      <c r="F50" s="1231">
        <v>6423</v>
      </c>
      <c r="G50" s="1231">
        <v>13.47</v>
      </c>
      <c r="I50" s="1" t="s">
        <v>1448</v>
      </c>
    </row>
    <row r="51" spans="1:9" hidden="1">
      <c r="A51" s="1012" t="s">
        <v>601</v>
      </c>
      <c r="B51" s="1012"/>
      <c r="C51" s="1012"/>
      <c r="D51" s="1012"/>
      <c r="E51" s="1012">
        <v>0.03</v>
      </c>
      <c r="F51" s="1012">
        <v>-452.21</v>
      </c>
      <c r="G51" s="1226">
        <v>-0.1203</v>
      </c>
      <c r="I51" s="1" t="s">
        <v>1448</v>
      </c>
    </row>
    <row r="52" spans="1:9" hidden="1">
      <c r="A52" s="1229" t="s">
        <v>194</v>
      </c>
      <c r="B52" s="1229"/>
      <c r="C52" s="1229"/>
      <c r="D52" s="1229"/>
      <c r="E52" s="1229">
        <v>1.83</v>
      </c>
      <c r="F52" s="1229">
        <v>-26940</v>
      </c>
      <c r="G52" s="1230">
        <v>-0.12839999999999999</v>
      </c>
      <c r="I52" s="567" t="s">
        <v>74</v>
      </c>
    </row>
    <row r="53" spans="1:9" hidden="1">
      <c r="A53" s="1181" t="s">
        <v>1456</v>
      </c>
      <c r="B53" s="1111">
        <v>116</v>
      </c>
      <c r="C53" s="1111">
        <v>603.66999999999996</v>
      </c>
      <c r="D53" s="1111">
        <v>569.15</v>
      </c>
      <c r="E53" s="1181">
        <v>0.66</v>
      </c>
      <c r="F53" s="1181">
        <v>-4004.3</v>
      </c>
      <c r="G53" s="1181">
        <v>-5.72</v>
      </c>
      <c r="I53" s="567" t="s">
        <v>74</v>
      </c>
    </row>
    <row r="54" spans="1:9">
      <c r="A54" s="1231" t="s">
        <v>1457</v>
      </c>
      <c r="B54" s="400">
        <v>38</v>
      </c>
      <c r="C54" s="400">
        <v>4643.42</v>
      </c>
      <c r="D54" s="400">
        <v>4364.8500000000004</v>
      </c>
      <c r="E54" s="1231">
        <v>1.66</v>
      </c>
      <c r="F54" s="1231">
        <v>-10585.7</v>
      </c>
      <c r="G54" s="1231">
        <v>-6</v>
      </c>
      <c r="I54" s="1" t="s">
        <v>58</v>
      </c>
    </row>
    <row r="55" spans="1:9" hidden="1">
      <c r="A55" s="1229" t="s">
        <v>595</v>
      </c>
      <c r="B55" s="1229"/>
      <c r="C55" s="1229"/>
      <c r="D55" s="1229"/>
      <c r="E55" s="1229">
        <v>0.46</v>
      </c>
      <c r="F55" s="1229">
        <v>-6520.8</v>
      </c>
      <c r="G55" s="1230">
        <v>-0.1236</v>
      </c>
      <c r="I55" s="567" t="s">
        <v>74</v>
      </c>
    </row>
    <row r="56" spans="1:9" hidden="1">
      <c r="A56" s="1181" t="s">
        <v>203</v>
      </c>
      <c r="B56" s="1111">
        <v>100</v>
      </c>
      <c r="C56" s="1111">
        <v>372.84</v>
      </c>
      <c r="D56" s="1111">
        <v>355.65</v>
      </c>
      <c r="E56" s="1181">
        <v>0.36</v>
      </c>
      <c r="F56" s="1181">
        <v>-1718.95</v>
      </c>
      <c r="G56" s="1181">
        <v>-4.6100000000000003</v>
      </c>
      <c r="I56" s="567" t="s">
        <v>74</v>
      </c>
    </row>
    <row r="57" spans="1:9">
      <c r="A57" s="1231" t="s">
        <v>602</v>
      </c>
      <c r="B57" s="400">
        <v>4</v>
      </c>
      <c r="C57" s="400">
        <v>684</v>
      </c>
      <c r="D57" s="400">
        <v>733.85</v>
      </c>
      <c r="E57" s="1231">
        <v>0.03</v>
      </c>
      <c r="F57" s="1231">
        <v>199.4</v>
      </c>
      <c r="G57" s="1231">
        <v>7.29</v>
      </c>
      <c r="I57" s="1" t="s">
        <v>58</v>
      </c>
    </row>
    <row r="58" spans="1:9">
      <c r="A58" s="1231" t="s">
        <v>634</v>
      </c>
      <c r="B58" s="400">
        <v>155</v>
      </c>
      <c r="C58" s="400">
        <v>588.92999999999995</v>
      </c>
      <c r="D58" s="400">
        <v>636.95000000000005</v>
      </c>
      <c r="E58" s="1231">
        <v>0.99</v>
      </c>
      <c r="F58" s="1231">
        <v>7443.15</v>
      </c>
      <c r="G58" s="1231">
        <v>8.15</v>
      </c>
      <c r="I58" s="1" t="s">
        <v>58</v>
      </c>
    </row>
    <row r="59" spans="1:9">
      <c r="A59" s="1012" t="s">
        <v>634</v>
      </c>
      <c r="B59" s="1012"/>
      <c r="C59" s="1012"/>
      <c r="D59" s="1012"/>
      <c r="E59" s="1012">
        <v>0.36</v>
      </c>
      <c r="F59" s="1012">
        <v>1387.38</v>
      </c>
      <c r="G59" s="1226">
        <v>3.9699999999999999E-2</v>
      </c>
      <c r="I59" s="1" t="s">
        <v>58</v>
      </c>
    </row>
    <row r="60" spans="1:9">
      <c r="A60" s="1227" t="s">
        <v>634</v>
      </c>
      <c r="B60" s="1227"/>
      <c r="C60" s="1227"/>
      <c r="D60" s="1227"/>
      <c r="E60" s="1227">
        <v>1.35</v>
      </c>
      <c r="F60" s="1227"/>
      <c r="G60" s="1227"/>
      <c r="I60" s="1" t="s">
        <v>58</v>
      </c>
    </row>
    <row r="61" spans="1:9" hidden="1">
      <c r="A61" s="1229" t="s">
        <v>588</v>
      </c>
      <c r="B61" s="1229"/>
      <c r="C61" s="1229"/>
      <c r="D61" s="1229"/>
      <c r="E61" s="1229">
        <v>0</v>
      </c>
      <c r="F61" s="1229">
        <v>-30</v>
      </c>
      <c r="G61" s="1230">
        <v>-0.1104</v>
      </c>
      <c r="I61" s="567" t="s">
        <v>74</v>
      </c>
    </row>
    <row r="62" spans="1:9">
      <c r="A62" s="1012" t="s">
        <v>207</v>
      </c>
      <c r="B62" s="1012"/>
      <c r="C62" s="1012"/>
      <c r="D62" s="1012"/>
      <c r="E62" s="1012">
        <v>1.68</v>
      </c>
      <c r="F62" s="1012">
        <v>-3517.12</v>
      </c>
      <c r="G62" s="1226">
        <v>-2.0500000000000001E-2</v>
      </c>
      <c r="I62" s="1" t="s">
        <v>58</v>
      </c>
    </row>
    <row r="63" spans="1:9">
      <c r="A63" s="1231" t="s">
        <v>598</v>
      </c>
      <c r="B63" s="400">
        <v>210</v>
      </c>
      <c r="C63" s="400">
        <v>437.69</v>
      </c>
      <c r="D63" s="400">
        <v>420.9</v>
      </c>
      <c r="E63" s="1231">
        <v>0.88</v>
      </c>
      <c r="F63" s="1231">
        <v>-3525.9</v>
      </c>
      <c r="G63" s="1231">
        <v>-3.84</v>
      </c>
      <c r="I63" s="1" t="s">
        <v>58</v>
      </c>
    </row>
    <row r="64" spans="1:9">
      <c r="A64" s="1012" t="s">
        <v>598</v>
      </c>
      <c r="B64" s="1012"/>
      <c r="C64" s="1012"/>
      <c r="D64" s="1012"/>
      <c r="E64" s="1012">
        <v>0.42</v>
      </c>
      <c r="F64" s="1012">
        <v>142</v>
      </c>
      <c r="G64" s="1226">
        <v>3.3999999999999998E-3</v>
      </c>
      <c r="I64" s="1" t="s">
        <v>58</v>
      </c>
    </row>
    <row r="65" spans="1:11">
      <c r="A65" s="1227" t="s">
        <v>598</v>
      </c>
      <c r="B65" s="1227"/>
      <c r="C65" s="1227"/>
      <c r="D65" s="1227"/>
      <c r="E65" s="1227">
        <v>0.55000000000000004</v>
      </c>
      <c r="F65" s="1227"/>
      <c r="G65" s="1227"/>
      <c r="I65" s="1" t="s">
        <v>58</v>
      </c>
    </row>
    <row r="66" spans="1:11" hidden="1">
      <c r="A66" s="1181" t="s">
        <v>1458</v>
      </c>
      <c r="B66" s="1111">
        <v>81</v>
      </c>
      <c r="C66" s="1111">
        <v>1663.06</v>
      </c>
      <c r="D66" s="1111">
        <v>1581.8</v>
      </c>
      <c r="E66" s="1181">
        <v>1.28</v>
      </c>
      <c r="F66" s="1181">
        <v>-6582.2</v>
      </c>
      <c r="G66" s="1181">
        <v>-4.8899999999999997</v>
      </c>
      <c r="I66" s="567" t="s">
        <v>74</v>
      </c>
    </row>
    <row r="67" spans="1:11">
      <c r="A67" s="1231" t="s">
        <v>593</v>
      </c>
      <c r="B67" s="400">
        <v>16</v>
      </c>
      <c r="C67" s="400">
        <v>1289.01</v>
      </c>
      <c r="D67" s="400">
        <v>1337.15</v>
      </c>
      <c r="E67" s="1231">
        <v>0.21</v>
      </c>
      <c r="F67" s="1231">
        <v>770.3</v>
      </c>
      <c r="G67" s="1231">
        <v>3.73</v>
      </c>
      <c r="I67" s="1" t="s">
        <v>58</v>
      </c>
    </row>
    <row r="68" spans="1:11">
      <c r="A68" s="1012" t="s">
        <v>593</v>
      </c>
      <c r="B68" s="1012"/>
      <c r="C68" s="1012"/>
      <c r="D68" s="1012"/>
      <c r="E68" s="1012">
        <v>0.13</v>
      </c>
      <c r="F68" s="1012">
        <v>498.4</v>
      </c>
      <c r="G68" s="1226">
        <v>3.8699999999999998E-2</v>
      </c>
      <c r="I68" s="1" t="s">
        <v>58</v>
      </c>
    </row>
    <row r="69" spans="1:11">
      <c r="A69" s="1227" t="s">
        <v>636</v>
      </c>
      <c r="B69" s="1227"/>
      <c r="C69" s="1227"/>
      <c r="D69" s="1227"/>
      <c r="E69" s="1227">
        <v>1</v>
      </c>
      <c r="F69" s="1227"/>
      <c r="G69" s="1227"/>
      <c r="I69" s="1" t="s">
        <v>58</v>
      </c>
    </row>
    <row r="70" spans="1:11">
      <c r="A70" s="1231" t="s">
        <v>636</v>
      </c>
      <c r="B70" s="400">
        <v>126</v>
      </c>
      <c r="C70" s="400">
        <v>1779.34</v>
      </c>
      <c r="D70" s="400">
        <v>1761.75</v>
      </c>
      <c r="E70" s="1231">
        <v>2.2200000000000002</v>
      </c>
      <c r="F70" s="1231">
        <v>-2216.1</v>
      </c>
      <c r="G70" s="1231">
        <v>-0.99</v>
      </c>
      <c r="I70" s="1" t="s">
        <v>58</v>
      </c>
    </row>
    <row r="71" spans="1:11">
      <c r="A71" s="1012" t="s">
        <v>636</v>
      </c>
      <c r="B71" s="1012"/>
      <c r="C71" s="1012"/>
      <c r="D71" s="1012"/>
      <c r="E71" s="1012">
        <v>1.71</v>
      </c>
      <c r="F71" s="1012">
        <v>-6728.89</v>
      </c>
      <c r="G71" s="1226">
        <v>-3.7900000000000003E-2</v>
      </c>
      <c r="I71" s="1" t="s">
        <v>58</v>
      </c>
    </row>
    <row r="72" spans="1:11" hidden="1">
      <c r="A72" s="1181" t="s">
        <v>1459</v>
      </c>
      <c r="B72" s="1111">
        <v>50</v>
      </c>
      <c r="C72" s="1111">
        <v>403.63</v>
      </c>
      <c r="D72" s="1111">
        <v>340.05</v>
      </c>
      <c r="E72" s="1181">
        <v>0.17</v>
      </c>
      <c r="F72" s="1181">
        <v>-3179</v>
      </c>
      <c r="G72" s="1181">
        <v>-15.75</v>
      </c>
      <c r="I72" s="567" t="s">
        <v>74</v>
      </c>
    </row>
    <row r="73" spans="1:11" hidden="1">
      <c r="A73" s="1229" t="s">
        <v>1459</v>
      </c>
      <c r="B73" s="1229"/>
      <c r="C73" s="1229"/>
      <c r="D73" s="1229"/>
      <c r="E73" s="1229">
        <v>0.17</v>
      </c>
      <c r="F73" s="1229">
        <v>-2403.5</v>
      </c>
      <c r="G73" s="1230">
        <v>-0.1239</v>
      </c>
      <c r="I73" s="567" t="s">
        <v>74</v>
      </c>
    </row>
    <row r="74" spans="1:11" hidden="1">
      <c r="A74" s="1231" t="s">
        <v>638</v>
      </c>
      <c r="B74" s="400">
        <v>500</v>
      </c>
      <c r="C74" s="400">
        <v>362</v>
      </c>
      <c r="D74" s="400">
        <v>360.5</v>
      </c>
      <c r="E74" s="1231">
        <v>1.8</v>
      </c>
      <c r="F74" s="1231">
        <v>-750</v>
      </c>
      <c r="G74" s="1231">
        <v>-0.41</v>
      </c>
      <c r="I74" s="1" t="s">
        <v>1448</v>
      </c>
    </row>
    <row r="75" spans="1:11">
      <c r="A75" s="1231" t="s">
        <v>1460</v>
      </c>
      <c r="B75" s="400">
        <v>7</v>
      </c>
      <c r="C75" s="400">
        <v>13420.71</v>
      </c>
      <c r="D75" s="400">
        <v>13894.85</v>
      </c>
      <c r="E75" s="1231">
        <v>0.97</v>
      </c>
      <c r="F75" s="1231">
        <v>3318.95</v>
      </c>
      <c r="G75" s="1231">
        <v>3.53</v>
      </c>
      <c r="I75" s="1" t="s">
        <v>58</v>
      </c>
    </row>
    <row r="76" spans="1:11">
      <c r="A76" s="1227" t="s">
        <v>1460</v>
      </c>
      <c r="B76" s="1227"/>
      <c r="C76" s="1227"/>
      <c r="D76" s="1227"/>
      <c r="E76" s="1227">
        <v>0.55000000000000004</v>
      </c>
      <c r="F76" s="1227"/>
      <c r="G76" s="1227"/>
      <c r="I76" s="1" t="s">
        <v>58</v>
      </c>
    </row>
    <row r="77" spans="1:11" hidden="1">
      <c r="A77" s="1229" t="s">
        <v>594</v>
      </c>
      <c r="B77" s="1229"/>
      <c r="C77" s="1229"/>
      <c r="D77" s="1229"/>
      <c r="E77" s="1229">
        <v>0.01</v>
      </c>
      <c r="F77" s="1229">
        <v>-921.39</v>
      </c>
      <c r="G77" s="1230">
        <v>-0.38579999999999998</v>
      </c>
      <c r="I77" s="567" t="s">
        <v>74</v>
      </c>
    </row>
    <row r="78" spans="1:11" hidden="1">
      <c r="A78" s="1231" t="s">
        <v>640</v>
      </c>
      <c r="B78" s="400">
        <v>1000</v>
      </c>
      <c r="C78" s="400">
        <v>280</v>
      </c>
      <c r="D78" s="400">
        <v>325.35000000000002</v>
      </c>
      <c r="E78" s="1231">
        <v>3.25</v>
      </c>
      <c r="F78" s="1231">
        <v>45350</v>
      </c>
      <c r="G78" s="1231">
        <v>16.2</v>
      </c>
      <c r="I78" s="1" t="s">
        <v>1448</v>
      </c>
      <c r="K78" s="1233"/>
    </row>
    <row r="79" spans="1:11">
      <c r="A79" s="1231" t="s">
        <v>1461</v>
      </c>
      <c r="B79" s="400">
        <v>189</v>
      </c>
      <c r="C79" s="400">
        <v>1530.98</v>
      </c>
      <c r="D79" s="400">
        <v>1673.35</v>
      </c>
      <c r="E79" s="1231">
        <v>3.16</v>
      </c>
      <c r="F79" s="1231">
        <v>26908.55</v>
      </c>
      <c r="G79" s="1231">
        <v>9.3000000000000007</v>
      </c>
      <c r="I79" s="1" t="s">
        <v>58</v>
      </c>
    </row>
    <row r="80" spans="1:11">
      <c r="A80" s="1227" t="s">
        <v>1461</v>
      </c>
      <c r="B80" s="1227"/>
      <c r="C80" s="1227"/>
      <c r="D80" s="1227"/>
      <c r="E80" s="1227">
        <v>1.17</v>
      </c>
      <c r="F80" s="1227"/>
      <c r="G80" s="1227"/>
      <c r="I80" s="1" t="s">
        <v>58</v>
      </c>
    </row>
    <row r="81" spans="1:15" hidden="1">
      <c r="A81" s="1012" t="s">
        <v>1117</v>
      </c>
      <c r="B81" s="1012"/>
      <c r="C81" s="1012"/>
      <c r="D81" s="1012"/>
      <c r="E81" s="1012">
        <v>4.2300000000000004</v>
      </c>
      <c r="F81" s="1012">
        <v>20352</v>
      </c>
      <c r="G81" s="1226">
        <v>5.0599999999999999E-2</v>
      </c>
      <c r="I81" s="1" t="s">
        <v>1448</v>
      </c>
      <c r="K81" s="1233"/>
    </row>
    <row r="82" spans="1:15" hidden="1">
      <c r="A82" s="18" t="s">
        <v>1462</v>
      </c>
      <c r="B82" s="1012"/>
      <c r="C82" s="1012"/>
      <c r="D82" s="18"/>
      <c r="E82" s="18"/>
      <c r="F82" s="18"/>
      <c r="G82" s="1236"/>
      <c r="H82" s="124"/>
      <c r="I82" s="124" t="s">
        <v>1448</v>
      </c>
      <c r="J82" s="1234" t="s">
        <v>1463</v>
      </c>
      <c r="K82" s="1241">
        <f>400*335</f>
        <v>134000</v>
      </c>
      <c r="M82" s="1240" t="s">
        <v>1151</v>
      </c>
      <c r="N82" s="1240">
        <f>1.68+0.42+0.2+0.1+0.2</f>
        <v>2.6000000000000005</v>
      </c>
      <c r="O82" s="1240" t="s">
        <v>562</v>
      </c>
    </row>
    <row r="83" spans="1:15" hidden="1">
      <c r="A83" s="1237" t="s">
        <v>624</v>
      </c>
      <c r="D83" s="1238"/>
      <c r="E83" s="1238"/>
      <c r="F83" s="1238"/>
      <c r="G83" s="1238"/>
      <c r="H83" s="1171"/>
      <c r="I83" s="1171" t="s">
        <v>1448</v>
      </c>
      <c r="J83" s="1239" t="s">
        <v>1464</v>
      </c>
      <c r="K83" s="1242">
        <f>1000*337.1</f>
        <v>337100</v>
      </c>
      <c r="M83" s="1240"/>
      <c r="N83" s="1240">
        <v>4.28</v>
      </c>
      <c r="O83" s="1240" t="s">
        <v>551</v>
      </c>
    </row>
    <row r="84" spans="1:15" hidden="1">
      <c r="A84" s="443" t="s">
        <v>1465</v>
      </c>
      <c r="I84" s="1" t="s">
        <v>539</v>
      </c>
      <c r="K84" s="535"/>
      <c r="M84" s="1240"/>
      <c r="N84" s="1240"/>
      <c r="O84" s="1240"/>
    </row>
    <row r="85" spans="1:15" hidden="1">
      <c r="A85" s="443" t="s">
        <v>257</v>
      </c>
      <c r="K85" s="535"/>
      <c r="M85" s="1240"/>
      <c r="N85" s="1240"/>
      <c r="O85" s="1240"/>
    </row>
    <row r="86" spans="1:15" hidden="1">
      <c r="A86" s="585" t="s">
        <v>269</v>
      </c>
      <c r="D86" s="1235"/>
      <c r="E86" s="1235"/>
      <c r="F86" s="1235"/>
      <c r="G86" s="1235"/>
      <c r="H86" s="124"/>
      <c r="I86" s="124"/>
      <c r="J86" s="1234" t="s">
        <v>1466</v>
      </c>
      <c r="K86" s="1241">
        <f>250*480</f>
        <v>120000</v>
      </c>
      <c r="M86" s="1240"/>
      <c r="N86" s="1240"/>
      <c r="O86" s="1240"/>
    </row>
    <row r="87" spans="1:15">
      <c r="K87" s="535"/>
      <c r="M87" s="1240"/>
      <c r="N87" s="1240">
        <f>SUBTOTAL(9,N82:N86)</f>
        <v>0</v>
      </c>
      <c r="O87" s="1240"/>
    </row>
    <row r="88" spans="1:15">
      <c r="K88" s="1243">
        <f>SUBTOTAL(9,K82:K87)</f>
        <v>0</v>
      </c>
    </row>
  </sheetData>
  <autoFilter ref="A1:I86" xr:uid="{C806B7C1-3343-4337-AA73-A47642492FEF}">
    <filterColumn colId="8">
      <filters>
        <filter val="HOLD"/>
      </filters>
    </filterColumn>
  </autoFilter>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AB3F32-1001-4132-BF70-4977985AD8D5}">
  <dimension ref="A2:O3"/>
  <sheetViews>
    <sheetView workbookViewId="0">
      <selection activeCell="P15" sqref="P15"/>
    </sheetView>
  </sheetViews>
  <sheetFormatPr defaultRowHeight="14.45"/>
  <sheetData>
    <row r="2" spans="1:15" s="295" customFormat="1" ht="71.099999999999994" customHeight="1">
      <c r="A2" s="531"/>
      <c r="B2" s="46" t="s">
        <v>1467</v>
      </c>
      <c r="C2" s="531">
        <v>827</v>
      </c>
      <c r="D2" s="697">
        <v>69.8</v>
      </c>
      <c r="E2" s="531">
        <v>492</v>
      </c>
      <c r="F2" s="929">
        <f t="shared" ref="F2" si="0">D2*E2</f>
        <v>34341.599999999999</v>
      </c>
      <c r="G2" s="934">
        <v>537</v>
      </c>
      <c r="H2" s="933">
        <v>65</v>
      </c>
      <c r="I2" s="931">
        <f t="shared" ref="I2:I3" si="1">G2*H2</f>
        <v>34905</v>
      </c>
      <c r="J2" s="532">
        <f t="shared" ref="J2:J3" si="2">I2/F2-1</f>
        <v>1.6405758613460053E-2</v>
      </c>
      <c r="K2" s="533">
        <f t="shared" ref="K2:K3" si="3">C2*(1+J2)</f>
        <v>840.5675623733315</v>
      </c>
      <c r="L2" s="582"/>
      <c r="M2" s="531"/>
      <c r="N2" s="47"/>
      <c r="O2" s="369" t="s">
        <v>1468</v>
      </c>
    </row>
    <row r="3" spans="1:15" s="295" customFormat="1" ht="138" customHeight="1">
      <c r="A3" s="531"/>
      <c r="B3" s="46" t="s">
        <v>1467</v>
      </c>
      <c r="C3" s="531">
        <v>827</v>
      </c>
      <c r="D3" s="697">
        <v>69.8</v>
      </c>
      <c r="E3" s="531">
        <v>492</v>
      </c>
      <c r="F3" s="929">
        <f>D3*E3</f>
        <v>34341.599999999999</v>
      </c>
      <c r="G3" s="934">
        <v>537</v>
      </c>
      <c r="H3" s="933">
        <v>60</v>
      </c>
      <c r="I3" s="931">
        <f t="shared" si="1"/>
        <v>32220</v>
      </c>
      <c r="J3" s="532">
        <f t="shared" si="2"/>
        <v>-6.177929974142149E-2</v>
      </c>
      <c r="K3" s="533">
        <f t="shared" si="3"/>
        <v>775.90851911384448</v>
      </c>
      <c r="L3" s="582"/>
      <c r="M3" s="531"/>
      <c r="N3" s="47"/>
      <c r="O3" s="369" t="s">
        <v>1469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A5A649-AF0D-4492-8367-2597525D563B}">
  <dimension ref="A1"/>
  <sheetViews>
    <sheetView workbookViewId="0">
      <selection activeCell="K17" sqref="K17"/>
    </sheetView>
  </sheetViews>
  <sheetFormatPr defaultRowHeight="14.45"/>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BE75C9-717E-46C7-9D93-5171A4C6BBDB}">
  <dimension ref="B2:B9"/>
  <sheetViews>
    <sheetView topLeftCell="A7" workbookViewId="0">
      <selection activeCell="B16" sqref="B16"/>
    </sheetView>
  </sheetViews>
  <sheetFormatPr defaultRowHeight="14.45"/>
  <cols>
    <col min="2" max="2" width="153.42578125" style="678" customWidth="1"/>
  </cols>
  <sheetData>
    <row r="2" spans="2:2" ht="43.5">
      <c r="B2" s="679" t="s">
        <v>1470</v>
      </c>
    </row>
    <row r="3" spans="2:2" ht="43.5">
      <c r="B3" s="679" t="s">
        <v>1471</v>
      </c>
    </row>
    <row r="4" spans="2:2" ht="116.1">
      <c r="B4" s="679" t="s">
        <v>1472</v>
      </c>
    </row>
    <row r="5" spans="2:2" ht="116.1">
      <c r="B5" s="677" t="s">
        <v>1473</v>
      </c>
    </row>
    <row r="6" spans="2:2" ht="43.5">
      <c r="B6" s="680" t="s">
        <v>1474</v>
      </c>
    </row>
    <row r="7" spans="2:2" ht="116.1">
      <c r="B7" s="677" t="s">
        <v>1475</v>
      </c>
    </row>
    <row r="8" spans="2:2" ht="57.95">
      <c r="B8" s="680" t="s">
        <v>1476</v>
      </c>
    </row>
    <row r="9" spans="2:2" ht="57.95">
      <c r="B9" s="677" t="s">
        <v>1477</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67D34D-EE88-482B-900E-99B6F4CF164B}">
  <dimension ref="A1:G40"/>
  <sheetViews>
    <sheetView zoomScale="115" zoomScaleNormal="115" workbookViewId="0">
      <selection activeCell="E5" sqref="E5"/>
    </sheetView>
  </sheetViews>
  <sheetFormatPr defaultColWidth="8.7109375" defaultRowHeight="12.6"/>
  <cols>
    <col min="1" max="1" width="18.5703125" style="669" customWidth="1"/>
    <col min="2" max="3" width="8.7109375" style="669"/>
    <col min="4" max="4" width="26.7109375" style="661" customWidth="1"/>
    <col min="5" max="5" width="44.28515625" style="661" customWidth="1"/>
    <col min="6" max="6" width="41.5703125" style="661" customWidth="1"/>
    <col min="7" max="7" width="22.7109375" style="669" customWidth="1"/>
    <col min="8" max="16384" width="8.7109375" style="669"/>
  </cols>
  <sheetData>
    <row r="1" spans="1:7" ht="75">
      <c r="A1" s="1189" t="s">
        <v>1478</v>
      </c>
      <c r="B1" s="950">
        <f>45</f>
        <v>45</v>
      </c>
      <c r="C1" s="950" t="s">
        <v>1479</v>
      </c>
      <c r="D1" s="662" t="s">
        <v>1480</v>
      </c>
      <c r="E1" s="663" t="s">
        <v>1481</v>
      </c>
      <c r="F1" s="663" t="s">
        <v>1482</v>
      </c>
      <c r="G1" s="664" t="s">
        <v>1483</v>
      </c>
    </row>
    <row r="2" spans="1:7">
      <c r="A2" s="1190" t="s">
        <v>1484</v>
      </c>
      <c r="B2" s="950">
        <v>823</v>
      </c>
      <c r="C2" s="950" t="s">
        <v>1485</v>
      </c>
      <c r="D2" s="662"/>
      <c r="E2" s="663"/>
      <c r="F2" s="663"/>
      <c r="G2" s="664"/>
    </row>
    <row r="3" spans="1:7">
      <c r="A3" s="950" t="s">
        <v>1486</v>
      </c>
      <c r="B3" s="950">
        <v>10</v>
      </c>
      <c r="C3" s="950"/>
      <c r="D3" s="662" t="s">
        <v>1487</v>
      </c>
      <c r="E3" s="663"/>
      <c r="F3" s="663"/>
      <c r="G3" s="665"/>
    </row>
    <row r="4" spans="1:7" ht="47.1" customHeight="1">
      <c r="A4" s="950" t="s">
        <v>1488</v>
      </c>
      <c r="B4" s="950">
        <f>B1/B3</f>
        <v>4.5</v>
      </c>
      <c r="C4" s="950" t="s">
        <v>1485</v>
      </c>
      <c r="D4" s="662" t="s">
        <v>1489</v>
      </c>
      <c r="E4" s="663"/>
      <c r="F4" s="663" t="s">
        <v>1490</v>
      </c>
      <c r="G4" s="664" t="s">
        <v>1491</v>
      </c>
    </row>
    <row r="5" spans="1:7" ht="47.1" customHeight="1">
      <c r="A5" s="1188" t="s">
        <v>1492</v>
      </c>
      <c r="B5" s="1188">
        <v>498</v>
      </c>
      <c r="D5" s="1191" t="s">
        <v>1493</v>
      </c>
      <c r="E5" s="1192">
        <f>(B1+B2)/B4</f>
        <v>192.88888888888889</v>
      </c>
      <c r="F5" s="663"/>
      <c r="G5" s="664"/>
    </row>
    <row r="6" spans="1:7" ht="47.1" customHeight="1">
      <c r="D6" s="662"/>
      <c r="E6" s="663"/>
      <c r="F6" s="663"/>
      <c r="G6" s="664"/>
    </row>
    <row r="7" spans="1:7" ht="50.1" customHeight="1">
      <c r="D7" s="663" t="s">
        <v>1494</v>
      </c>
      <c r="E7" s="663" t="s">
        <v>1495</v>
      </c>
      <c r="F7" s="663" t="s">
        <v>1496</v>
      </c>
      <c r="G7" s="663"/>
    </row>
    <row r="8" spans="1:7" ht="24.95">
      <c r="D8" s="664" t="s">
        <v>1497</v>
      </c>
      <c r="E8" s="663"/>
      <c r="F8" s="663"/>
      <c r="G8" s="663"/>
    </row>
    <row r="9" spans="1:7">
      <c r="D9" s="663"/>
      <c r="E9" s="663"/>
      <c r="F9" s="663"/>
      <c r="G9" s="663"/>
    </row>
    <row r="10" spans="1:7" ht="179.1" customHeight="1">
      <c r="D10" s="666" t="s">
        <v>1498</v>
      </c>
      <c r="E10" s="666" t="s">
        <v>1499</v>
      </c>
      <c r="F10" s="667" t="s">
        <v>1500</v>
      </c>
    </row>
    <row r="11" spans="1:7" ht="24.95">
      <c r="D11" s="667" t="s">
        <v>1501</v>
      </c>
      <c r="E11" s="667"/>
      <c r="F11" s="667"/>
      <c r="G11" s="663"/>
    </row>
    <row r="12" spans="1:7" ht="36" customHeight="1">
      <c r="D12" s="668" t="s">
        <v>1502</v>
      </c>
      <c r="E12" s="667"/>
      <c r="F12" s="667"/>
      <c r="G12" s="663"/>
    </row>
    <row r="13" spans="1:7" ht="99.95">
      <c r="D13" s="670" t="s">
        <v>1503</v>
      </c>
      <c r="E13" s="667" t="s">
        <v>1504</v>
      </c>
      <c r="F13" s="670" t="s">
        <v>1505</v>
      </c>
      <c r="G13" s="663"/>
    </row>
    <row r="14" spans="1:7">
      <c r="D14" s="663"/>
      <c r="E14" s="663"/>
      <c r="F14" s="663"/>
      <c r="G14" s="663"/>
    </row>
    <row r="15" spans="1:7">
      <c r="D15" s="663"/>
      <c r="E15" s="663"/>
      <c r="F15" s="663"/>
      <c r="G15" s="663"/>
    </row>
    <row r="16" spans="1:7">
      <c r="D16" s="663"/>
      <c r="E16" s="663"/>
      <c r="F16" s="663"/>
      <c r="G16" s="663"/>
    </row>
    <row r="17" spans="4:7">
      <c r="D17" s="663"/>
      <c r="E17" s="663"/>
      <c r="F17" s="663"/>
      <c r="G17" s="663"/>
    </row>
    <row r="18" spans="4:7">
      <c r="D18" s="663"/>
      <c r="E18" s="663"/>
      <c r="F18" s="663"/>
      <c r="G18" s="663"/>
    </row>
    <row r="19" spans="4:7">
      <c r="D19" s="663"/>
      <c r="E19" s="663"/>
      <c r="F19" s="663"/>
      <c r="G19" s="663"/>
    </row>
    <row r="20" spans="4:7">
      <c r="D20" s="663"/>
      <c r="E20" s="663"/>
      <c r="F20" s="663"/>
      <c r="G20" s="663"/>
    </row>
    <row r="21" spans="4:7">
      <c r="D21" s="663"/>
      <c r="E21" s="663"/>
      <c r="F21" s="663"/>
      <c r="G21" s="663"/>
    </row>
    <row r="22" spans="4:7">
      <c r="G22" s="661"/>
    </row>
    <row r="23" spans="4:7">
      <c r="G23" s="661"/>
    </row>
    <row r="24" spans="4:7">
      <c r="G24" s="661"/>
    </row>
    <row r="25" spans="4:7">
      <c r="G25" s="661"/>
    </row>
    <row r="26" spans="4:7">
      <c r="G26" s="661"/>
    </row>
    <row r="27" spans="4:7">
      <c r="G27" s="661"/>
    </row>
    <row r="28" spans="4:7">
      <c r="G28" s="661"/>
    </row>
    <row r="29" spans="4:7">
      <c r="G29" s="661"/>
    </row>
    <row r="30" spans="4:7">
      <c r="G30" s="661"/>
    </row>
    <row r="31" spans="4:7">
      <c r="G31" s="661"/>
    </row>
    <row r="32" spans="4:7">
      <c r="G32" s="661"/>
    </row>
    <row r="33" spans="7:7">
      <c r="G33" s="661"/>
    </row>
    <row r="34" spans="7:7">
      <c r="G34" s="661"/>
    </row>
    <row r="35" spans="7:7">
      <c r="G35" s="661"/>
    </row>
    <row r="36" spans="7:7">
      <c r="G36" s="661"/>
    </row>
    <row r="37" spans="7:7">
      <c r="G37" s="661"/>
    </row>
    <row r="38" spans="7:7">
      <c r="G38" s="661"/>
    </row>
    <row r="39" spans="7:7">
      <c r="G39" s="661"/>
    </row>
    <row r="40" spans="7:7">
      <c r="G40" s="661"/>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D89B14-57D8-4A6F-89FD-937E878D5CA7}">
  <dimension ref="A2:J27"/>
  <sheetViews>
    <sheetView topLeftCell="A5" workbookViewId="0">
      <selection activeCell="I20" sqref="I20"/>
    </sheetView>
  </sheetViews>
  <sheetFormatPr defaultRowHeight="14.45"/>
  <cols>
    <col min="1" max="1" width="36.28515625" style="156" customWidth="1"/>
    <col min="4" max="4" width="12.28515625" customWidth="1"/>
    <col min="9" max="9" width="13.7109375" customWidth="1"/>
  </cols>
  <sheetData>
    <row r="2" spans="1:10">
      <c r="I2" t="s">
        <v>1506</v>
      </c>
      <c r="J2" t="s">
        <v>1507</v>
      </c>
    </row>
    <row r="3" spans="1:10">
      <c r="A3" s="641" t="s">
        <v>1508</v>
      </c>
      <c r="B3" s="638"/>
      <c r="C3" s="378"/>
      <c r="D3" s="645"/>
      <c r="E3" s="640" t="s">
        <v>1509</v>
      </c>
      <c r="F3" s="645"/>
      <c r="G3" s="645"/>
    </row>
    <row r="4" spans="1:10">
      <c r="A4" s="641" t="s">
        <v>1510</v>
      </c>
      <c r="B4" s="638">
        <v>103995</v>
      </c>
      <c r="C4" s="378"/>
      <c r="D4" s="645"/>
      <c r="E4" s="640">
        <v>167869</v>
      </c>
      <c r="F4" s="645">
        <f>E4/100</f>
        <v>1678.69</v>
      </c>
      <c r="G4" s="645" t="s">
        <v>1511</v>
      </c>
    </row>
    <row r="5" spans="1:10">
      <c r="A5" s="641" t="s">
        <v>1512</v>
      </c>
      <c r="B5" s="638">
        <v>4011</v>
      </c>
      <c r="D5" s="645" t="s">
        <v>1513</v>
      </c>
      <c r="E5" s="640">
        <v>1679</v>
      </c>
      <c r="F5" s="645">
        <f>E5/100</f>
        <v>16.79</v>
      </c>
    </row>
    <row r="6" spans="1:10" ht="43.5">
      <c r="A6" s="641" t="s">
        <v>1514</v>
      </c>
      <c r="C6" s="646">
        <v>1410</v>
      </c>
      <c r="E6" s="640"/>
    </row>
    <row r="7" spans="1:10">
      <c r="A7" s="641" t="s">
        <v>1515</v>
      </c>
      <c r="B7" s="638">
        <v>17376</v>
      </c>
      <c r="C7" s="646"/>
    </row>
    <row r="8" spans="1:10">
      <c r="A8" s="641" t="s">
        <v>1516</v>
      </c>
      <c r="C8" s="646">
        <v>1033</v>
      </c>
    </row>
    <row r="9" spans="1:10" ht="29.1">
      <c r="A9" s="641" t="s">
        <v>1517</v>
      </c>
      <c r="B9" s="638"/>
      <c r="C9" s="646">
        <v>8190</v>
      </c>
    </row>
    <row r="10" spans="1:10">
      <c r="A10" s="641" t="s">
        <v>1518</v>
      </c>
      <c r="B10" s="638">
        <v>10744</v>
      </c>
      <c r="C10" s="378"/>
    </row>
    <row r="11" spans="1:10">
      <c r="A11" s="641" t="s">
        <v>1519</v>
      </c>
      <c r="B11" s="638">
        <v>20676</v>
      </c>
      <c r="C11" s="378"/>
    </row>
    <row r="12" spans="1:10">
      <c r="A12" s="642" t="s">
        <v>1520</v>
      </c>
      <c r="B12" s="639">
        <f>SUM(B4:B11)</f>
        <v>156802</v>
      </c>
      <c r="C12" s="643"/>
      <c r="D12" s="644"/>
      <c r="E12" s="644">
        <f>SUM(E4:E11)</f>
        <v>169548</v>
      </c>
      <c r="F12" s="644">
        <f>E12/100</f>
        <v>1695.48</v>
      </c>
      <c r="G12" s="644" t="s">
        <v>1511</v>
      </c>
    </row>
    <row r="13" spans="1:10">
      <c r="D13" s="644" t="s">
        <v>1521</v>
      </c>
      <c r="E13" s="644" t="s">
        <v>1522</v>
      </c>
      <c r="F13" s="644">
        <f>(E12-B12)/100</f>
        <v>127.46</v>
      </c>
      <c r="G13" s="644" t="s">
        <v>1511</v>
      </c>
      <c r="H13" s="648" t="s">
        <v>1523</v>
      </c>
    </row>
    <row r="14" spans="1:10">
      <c r="D14">
        <v>31</v>
      </c>
      <c r="E14" t="s">
        <v>1524</v>
      </c>
    </row>
    <row r="16" spans="1:10">
      <c r="A16" s="641" t="s">
        <v>1525</v>
      </c>
      <c r="B16" s="638"/>
      <c r="C16" s="378"/>
    </row>
    <row r="17" spans="1:10">
      <c r="A17" s="641" t="s">
        <v>1510</v>
      </c>
      <c r="B17" s="638">
        <v>106168</v>
      </c>
      <c r="C17" s="378"/>
    </row>
    <row r="18" spans="1:10">
      <c r="A18" s="641" t="s">
        <v>1512</v>
      </c>
      <c r="B18" s="638">
        <v>3256</v>
      </c>
    </row>
    <row r="19" spans="1:10" ht="43.5">
      <c r="A19" s="641" t="s">
        <v>1514</v>
      </c>
      <c r="B19" s="646">
        <v>-3171</v>
      </c>
      <c r="C19" s="646">
        <v>-3171</v>
      </c>
    </row>
    <row r="20" spans="1:10">
      <c r="A20" s="641" t="s">
        <v>1515</v>
      </c>
      <c r="B20" s="647">
        <v>14872</v>
      </c>
      <c r="C20" s="646"/>
    </row>
    <row r="21" spans="1:10">
      <c r="A21" s="641" t="s">
        <v>1516</v>
      </c>
      <c r="C21" s="646">
        <v>1283</v>
      </c>
    </row>
    <row r="22" spans="1:10" ht="29.1">
      <c r="A22" s="641" t="s">
        <v>1517</v>
      </c>
      <c r="C22" s="646">
        <v>6959</v>
      </c>
    </row>
    <row r="23" spans="1:10">
      <c r="A23" s="641" t="s">
        <v>1518</v>
      </c>
      <c r="B23" s="638">
        <v>10822</v>
      </c>
      <c r="C23" s="378"/>
    </row>
    <row r="24" spans="1:10">
      <c r="A24" s="641" t="s">
        <v>1519</v>
      </c>
      <c r="B24" s="638">
        <v>20222</v>
      </c>
      <c r="C24" s="378"/>
      <c r="E24" t="s">
        <v>1526</v>
      </c>
    </row>
    <row r="25" spans="1:10">
      <c r="A25" s="642" t="s">
        <v>1520</v>
      </c>
      <c r="B25" s="639">
        <f>SUM(B17:B24)</f>
        <v>152169</v>
      </c>
      <c r="C25" s="643"/>
      <c r="E25">
        <v>171152</v>
      </c>
      <c r="H25" s="648" t="s">
        <v>1527</v>
      </c>
    </row>
    <row r="26" spans="1:10">
      <c r="E26" s="644" t="s">
        <v>1522</v>
      </c>
      <c r="F26" s="644">
        <f>(E25-B25)/100</f>
        <v>189.83</v>
      </c>
      <c r="H26" s="646" t="s">
        <v>1528</v>
      </c>
      <c r="I26" s="646"/>
      <c r="J26" s="646" t="s">
        <v>1529</v>
      </c>
    </row>
    <row r="27" spans="1:10">
      <c r="E27" s="648" t="s">
        <v>1523</v>
      </c>
      <c r="H27" s="378" t="s">
        <v>1524</v>
      </c>
      <c r="I27" s="378"/>
      <c r="J27" s="378" t="s">
        <v>1530</v>
      </c>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A21974-9EB5-4F8A-B8A9-E0E0B21BF1FC}">
  <dimension ref="C2:C24"/>
  <sheetViews>
    <sheetView topLeftCell="B9" workbookViewId="0">
      <selection activeCell="K20" sqref="K20"/>
    </sheetView>
  </sheetViews>
  <sheetFormatPr defaultRowHeight="14.45"/>
  <sheetData>
    <row r="2" spans="3:3">
      <c r="C2" t="s">
        <v>1531</v>
      </c>
    </row>
    <row r="3" spans="3:3">
      <c r="C3" t="s">
        <v>1532</v>
      </c>
    </row>
    <row r="4" spans="3:3">
      <c r="C4" t="s">
        <v>1533</v>
      </c>
    </row>
    <row r="5" spans="3:3">
      <c r="C5" t="s">
        <v>1534</v>
      </c>
    </row>
    <row r="6" spans="3:3">
      <c r="C6" t="s">
        <v>1535</v>
      </c>
    </row>
    <row r="7" spans="3:3">
      <c r="C7" t="s">
        <v>1536</v>
      </c>
    </row>
    <row r="8" spans="3:3">
      <c r="C8" t="s">
        <v>1537</v>
      </c>
    </row>
    <row r="9" spans="3:3">
      <c r="C9" t="s">
        <v>1538</v>
      </c>
    </row>
    <row r="10" spans="3:3">
      <c r="C10" t="s">
        <v>1539</v>
      </c>
    </row>
    <row r="11" spans="3:3">
      <c r="C11" t="s">
        <v>1540</v>
      </c>
    </row>
    <row r="12" spans="3:3">
      <c r="C12" t="s">
        <v>1541</v>
      </c>
    </row>
    <row r="13" spans="3:3">
      <c r="C13" t="s">
        <v>1542</v>
      </c>
    </row>
    <row r="14" spans="3:3">
      <c r="C14" t="s">
        <v>1543</v>
      </c>
    </row>
    <row r="15" spans="3:3">
      <c r="C15" t="s">
        <v>1544</v>
      </c>
    </row>
    <row r="16" spans="3:3">
      <c r="C16" t="s">
        <v>1545</v>
      </c>
    </row>
    <row r="17" spans="3:3">
      <c r="C17" t="s">
        <v>1546</v>
      </c>
    </row>
    <row r="18" spans="3:3">
      <c r="C18" t="s">
        <v>1547</v>
      </c>
    </row>
    <row r="19" spans="3:3">
      <c r="C19" t="s">
        <v>1548</v>
      </c>
    </row>
    <row r="20" spans="3:3">
      <c r="C20" t="s">
        <v>1549</v>
      </c>
    </row>
    <row r="21" spans="3:3">
      <c r="C21" t="s">
        <v>1550</v>
      </c>
    </row>
    <row r="22" spans="3:3">
      <c r="C22" t="s">
        <v>1551</v>
      </c>
    </row>
    <row r="23" spans="3:3">
      <c r="C23" t="s">
        <v>1552</v>
      </c>
    </row>
    <row r="24" spans="3:3">
      <c r="C24" t="s">
        <v>1553</v>
      </c>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F35E3-F7B0-403A-B403-2878DCAD98D5}">
  <dimension ref="A1:Q124"/>
  <sheetViews>
    <sheetView zoomScaleNormal="100" workbookViewId="0">
      <selection activeCell="H18" sqref="H18"/>
    </sheetView>
  </sheetViews>
  <sheetFormatPr defaultRowHeight="14.45"/>
  <cols>
    <col min="2" max="2" width="24.7109375" style="260" customWidth="1"/>
    <col min="3" max="3" width="11" style="578" customWidth="1"/>
    <col min="4" max="4" width="12.42578125" style="260" customWidth="1"/>
    <col min="5" max="5" width="8.42578125" style="398" customWidth="1"/>
    <col min="6" max="6" width="25.7109375" style="156" customWidth="1"/>
    <col min="7" max="7" width="26.28515625" style="378" customWidth="1"/>
  </cols>
  <sheetData>
    <row r="1" spans="1:7">
      <c r="A1" s="124" t="s">
        <v>1554</v>
      </c>
      <c r="B1" s="18" t="s">
        <v>1</v>
      </c>
      <c r="C1" s="574" t="s">
        <v>1555</v>
      </c>
      <c r="D1" s="18" t="s">
        <v>346</v>
      </c>
      <c r="E1" s="395" t="s">
        <v>1556</v>
      </c>
      <c r="F1" s="408" t="s">
        <v>1557</v>
      </c>
      <c r="G1" s="18" t="s">
        <v>1558</v>
      </c>
    </row>
    <row r="2" spans="1:7">
      <c r="A2" s="1">
        <v>1</v>
      </c>
      <c r="B2" s="38" t="s">
        <v>1559</v>
      </c>
      <c r="C2" s="444">
        <v>1951.8</v>
      </c>
      <c r="D2" s="379" t="s">
        <v>505</v>
      </c>
      <c r="E2" s="394">
        <v>0.03</v>
      </c>
      <c r="F2" s="409"/>
    </row>
    <row r="3" spans="1:7">
      <c r="A3" s="1"/>
      <c r="B3" s="1" t="s">
        <v>1560</v>
      </c>
      <c r="C3" s="444">
        <v>3440.3</v>
      </c>
      <c r="D3" s="379" t="s">
        <v>505</v>
      </c>
      <c r="E3" s="394">
        <v>0.25</v>
      </c>
      <c r="F3" s="409"/>
    </row>
    <row r="4" spans="1:7">
      <c r="A4" s="1"/>
      <c r="B4" s="407" t="s">
        <v>1561</v>
      </c>
      <c r="C4" s="444">
        <v>3440.3</v>
      </c>
      <c r="D4" s="379" t="s">
        <v>505</v>
      </c>
      <c r="E4" s="394">
        <v>0.56999999999999995</v>
      </c>
      <c r="F4" s="411" t="s">
        <v>1562</v>
      </c>
    </row>
    <row r="5" spans="1:7">
      <c r="A5" s="1">
        <v>2224</v>
      </c>
      <c r="B5" s="396" t="s">
        <v>1563</v>
      </c>
      <c r="C5" s="444">
        <v>3440.3</v>
      </c>
      <c r="D5" s="379" t="s">
        <v>505</v>
      </c>
      <c r="E5" s="397">
        <v>0.33</v>
      </c>
      <c r="F5" s="411" t="s">
        <v>1562</v>
      </c>
    </row>
    <row r="6" spans="1:7">
      <c r="A6" s="1">
        <v>1101</v>
      </c>
      <c r="B6" s="393" t="s">
        <v>1564</v>
      </c>
      <c r="C6" s="444">
        <v>215.87</v>
      </c>
      <c r="D6" s="379" t="s">
        <v>505</v>
      </c>
      <c r="E6" s="381">
        <v>2.15</v>
      </c>
      <c r="F6" s="409" t="s">
        <v>1565</v>
      </c>
    </row>
    <row r="7" spans="1:7">
      <c r="A7" s="1">
        <v>3</v>
      </c>
      <c r="B7" s="38" t="s">
        <v>1449</v>
      </c>
      <c r="C7" s="444">
        <v>2500.75</v>
      </c>
      <c r="D7" s="379" t="s">
        <v>505</v>
      </c>
      <c r="E7" s="394">
        <v>0.24</v>
      </c>
      <c r="F7" s="434" t="s">
        <v>1566</v>
      </c>
      <c r="G7" s="565" t="s">
        <v>1567</v>
      </c>
    </row>
    <row r="8" spans="1:7" ht="29.1">
      <c r="A8" s="1">
        <v>4</v>
      </c>
      <c r="B8" s="38" t="s">
        <v>83</v>
      </c>
      <c r="C8" s="444">
        <v>1696.2</v>
      </c>
      <c r="D8" s="379" t="s">
        <v>505</v>
      </c>
      <c r="E8" s="394"/>
      <c r="F8" s="410" t="s">
        <v>1568</v>
      </c>
      <c r="G8" s="378" t="s">
        <v>1569</v>
      </c>
    </row>
    <row r="9" spans="1:7">
      <c r="A9" s="1">
        <v>2206</v>
      </c>
      <c r="B9" s="396" t="s">
        <v>83</v>
      </c>
      <c r="C9" s="444">
        <v>1696.2</v>
      </c>
      <c r="D9" s="379" t="s">
        <v>505</v>
      </c>
      <c r="E9" s="397"/>
      <c r="F9" s="410" t="s">
        <v>1570</v>
      </c>
      <c r="G9" s="378" t="s">
        <v>1569</v>
      </c>
    </row>
    <row r="10" spans="1:7">
      <c r="A10" s="436">
        <v>5</v>
      </c>
      <c r="B10" s="437" t="s">
        <v>1571</v>
      </c>
      <c r="C10" s="445">
        <v>114756.31</v>
      </c>
      <c r="D10" s="438" t="s">
        <v>536</v>
      </c>
      <c r="E10" s="439">
        <v>0.67</v>
      </c>
      <c r="F10" s="434" t="s">
        <v>1572</v>
      </c>
      <c r="G10" s="440" t="s">
        <v>1573</v>
      </c>
    </row>
    <row r="11" spans="1:7">
      <c r="A11" s="436">
        <v>2205</v>
      </c>
      <c r="B11" s="441" t="s">
        <v>1571</v>
      </c>
      <c r="C11" s="445">
        <v>114756.31</v>
      </c>
      <c r="D11" s="438" t="s">
        <v>536</v>
      </c>
      <c r="E11" s="442">
        <v>1.1000000000000001</v>
      </c>
      <c r="F11" s="434" t="s">
        <v>1572</v>
      </c>
      <c r="G11" s="440"/>
    </row>
    <row r="12" spans="1:7">
      <c r="A12" s="1">
        <v>2213</v>
      </c>
      <c r="B12" s="396" t="s">
        <v>57</v>
      </c>
      <c r="C12" s="444">
        <v>11719.51</v>
      </c>
      <c r="D12" s="379" t="s">
        <v>539</v>
      </c>
      <c r="E12" s="397">
        <v>0.6</v>
      </c>
      <c r="F12" s="409"/>
    </row>
    <row r="13" spans="1:7">
      <c r="A13" s="1"/>
      <c r="B13" s="1" t="s">
        <v>1574</v>
      </c>
      <c r="C13" s="444">
        <v>137347</v>
      </c>
      <c r="D13" s="379" t="s">
        <v>536</v>
      </c>
      <c r="E13" s="397">
        <v>0.1</v>
      </c>
      <c r="F13" s="434" t="s">
        <v>1572</v>
      </c>
    </row>
    <row r="14" spans="1:7">
      <c r="A14" s="396"/>
      <c r="B14" s="396" t="s">
        <v>1574</v>
      </c>
      <c r="C14" s="396">
        <v>137347</v>
      </c>
      <c r="D14" s="396" t="s">
        <v>536</v>
      </c>
      <c r="E14" s="396">
        <v>0.61</v>
      </c>
      <c r="F14" s="396"/>
    </row>
    <row r="15" spans="1:7">
      <c r="A15" s="1">
        <v>6</v>
      </c>
      <c r="B15" s="38" t="s">
        <v>1575</v>
      </c>
      <c r="C15" s="444">
        <v>8107.68</v>
      </c>
      <c r="D15" s="379" t="s">
        <v>539</v>
      </c>
      <c r="E15" s="394">
        <v>0.78</v>
      </c>
      <c r="F15" s="409"/>
    </row>
    <row r="16" spans="1:7">
      <c r="A16" s="1"/>
      <c r="B16" s="38" t="s">
        <v>1576</v>
      </c>
      <c r="C16" s="444">
        <v>22164.28</v>
      </c>
      <c r="D16" s="379" t="s">
        <v>536</v>
      </c>
      <c r="E16" s="394">
        <v>0.52</v>
      </c>
      <c r="F16" s="409"/>
    </row>
    <row r="17" spans="1:7">
      <c r="A17" s="1">
        <v>1108</v>
      </c>
      <c r="B17" s="393" t="s">
        <v>1577</v>
      </c>
      <c r="C17" s="444">
        <v>22164.28</v>
      </c>
      <c r="D17" s="379" t="s">
        <v>536</v>
      </c>
      <c r="E17" s="381">
        <v>1</v>
      </c>
      <c r="F17" s="434" t="s">
        <v>1572</v>
      </c>
    </row>
    <row r="18" spans="1:7">
      <c r="A18" s="1">
        <v>2210</v>
      </c>
      <c r="B18" s="396" t="s">
        <v>1451</v>
      </c>
      <c r="C18" s="444">
        <v>22164.28</v>
      </c>
      <c r="D18" s="379" t="s">
        <v>536</v>
      </c>
      <c r="E18" s="397">
        <v>0.87</v>
      </c>
      <c r="F18" s="434" t="s">
        <v>1572</v>
      </c>
    </row>
    <row r="19" spans="1:7">
      <c r="A19" s="1">
        <v>1104</v>
      </c>
      <c r="B19" s="393" t="s">
        <v>1578</v>
      </c>
      <c r="C19" s="444">
        <v>14171.59</v>
      </c>
      <c r="D19" s="379" t="s">
        <v>539</v>
      </c>
      <c r="E19" s="381">
        <v>0.55000000000000004</v>
      </c>
      <c r="F19" s="409" t="s">
        <v>1565</v>
      </c>
      <c r="G19" s="378" t="s">
        <v>1579</v>
      </c>
    </row>
    <row r="20" spans="1:7">
      <c r="A20" s="1">
        <v>8</v>
      </c>
      <c r="B20" s="38" t="s">
        <v>1578</v>
      </c>
      <c r="C20" s="444">
        <v>14171.59</v>
      </c>
      <c r="D20" s="379" t="s">
        <v>539</v>
      </c>
      <c r="E20" s="394">
        <v>0.67</v>
      </c>
      <c r="F20" s="410" t="s">
        <v>1580</v>
      </c>
      <c r="G20" s="378" t="s">
        <v>1579</v>
      </c>
    </row>
    <row r="21" spans="1:7">
      <c r="A21" s="1">
        <v>2216</v>
      </c>
      <c r="B21" s="396" t="s">
        <v>1578</v>
      </c>
      <c r="C21" s="444">
        <v>14171.59</v>
      </c>
      <c r="D21" s="379" t="s">
        <v>539</v>
      </c>
      <c r="E21" s="397">
        <v>0.52</v>
      </c>
      <c r="F21" s="409" t="s">
        <v>1565</v>
      </c>
      <c r="G21" s="378" t="s">
        <v>1579</v>
      </c>
    </row>
    <row r="22" spans="1:7" ht="29.1">
      <c r="A22" s="1">
        <v>7</v>
      </c>
      <c r="B22" s="38" t="s">
        <v>622</v>
      </c>
      <c r="C22" s="444">
        <v>3072.35</v>
      </c>
      <c r="D22" s="379" t="s">
        <v>505</v>
      </c>
      <c r="E22" s="394">
        <v>0.23</v>
      </c>
      <c r="F22" s="566" t="s">
        <v>1581</v>
      </c>
      <c r="G22" s="378" t="s">
        <v>1569</v>
      </c>
    </row>
    <row r="23" spans="1:7">
      <c r="A23" s="1">
        <v>2232</v>
      </c>
      <c r="B23" s="396" t="s">
        <v>622</v>
      </c>
      <c r="C23" s="444">
        <v>3072.35</v>
      </c>
      <c r="D23" s="379" t="s">
        <v>505</v>
      </c>
      <c r="E23" s="397">
        <v>0</v>
      </c>
      <c r="F23" s="410"/>
      <c r="G23" s="378" t="s">
        <v>1569</v>
      </c>
    </row>
    <row r="24" spans="1:7">
      <c r="A24" s="1">
        <v>9</v>
      </c>
      <c r="B24" s="38" t="s">
        <v>1582</v>
      </c>
      <c r="C24" s="444">
        <v>5698.21</v>
      </c>
      <c r="D24" s="379" t="s">
        <v>539</v>
      </c>
      <c r="E24" s="394">
        <v>0.81</v>
      </c>
      <c r="F24" s="434" t="s">
        <v>1572</v>
      </c>
    </row>
    <row r="25" spans="1:7">
      <c r="A25" s="443">
        <v>1110</v>
      </c>
      <c r="B25" s="576" t="s">
        <v>1583</v>
      </c>
      <c r="C25" s="574">
        <v>6774.72</v>
      </c>
      <c r="D25" s="575" t="s">
        <v>539</v>
      </c>
      <c r="E25" s="514">
        <v>0.24</v>
      </c>
      <c r="F25" s="434" t="s">
        <v>1572</v>
      </c>
      <c r="G25" s="435"/>
    </row>
    <row r="26" spans="1:7">
      <c r="A26" s="443"/>
      <c r="B26" s="514" t="s">
        <v>1583</v>
      </c>
      <c r="C26" s="574">
        <v>6774.72</v>
      </c>
      <c r="D26" s="575" t="s">
        <v>539</v>
      </c>
      <c r="E26" s="514">
        <v>0.14000000000000001</v>
      </c>
      <c r="F26" s="434"/>
      <c r="G26" s="435"/>
    </row>
    <row r="27" spans="1:7">
      <c r="A27" s="443">
        <v>10</v>
      </c>
      <c r="B27" s="443" t="s">
        <v>1583</v>
      </c>
      <c r="C27" s="574">
        <v>6774.72</v>
      </c>
      <c r="D27" s="443" t="s">
        <v>539</v>
      </c>
      <c r="E27" s="443">
        <v>0.62</v>
      </c>
      <c r="F27" s="434" t="s">
        <v>1572</v>
      </c>
      <c r="G27" s="435"/>
    </row>
    <row r="28" spans="1:7">
      <c r="A28" s="1">
        <v>11</v>
      </c>
      <c r="B28" s="38" t="s">
        <v>1098</v>
      </c>
      <c r="C28" s="444">
        <v>1325.18</v>
      </c>
      <c r="D28" s="379" t="s">
        <v>505</v>
      </c>
      <c r="E28" s="394">
        <v>0.03</v>
      </c>
      <c r="F28" s="409"/>
      <c r="G28" s="446" t="s">
        <v>1584</v>
      </c>
    </row>
    <row r="29" spans="1:7">
      <c r="A29" s="1">
        <v>1106</v>
      </c>
      <c r="B29" s="393" t="s">
        <v>1098</v>
      </c>
      <c r="C29" s="444">
        <v>1325.18</v>
      </c>
      <c r="D29" s="379" t="s">
        <v>505</v>
      </c>
      <c r="E29" s="381">
        <v>0.22</v>
      </c>
      <c r="F29" s="409"/>
    </row>
    <row r="30" spans="1:7">
      <c r="A30" s="1">
        <v>2218</v>
      </c>
      <c r="B30" s="396" t="s">
        <v>1098</v>
      </c>
      <c r="C30" s="444">
        <v>1325.18</v>
      </c>
      <c r="D30" s="379" t="s">
        <v>505</v>
      </c>
      <c r="E30" s="397">
        <v>0.37</v>
      </c>
      <c r="F30" s="409"/>
    </row>
    <row r="31" spans="1:7">
      <c r="A31" s="1"/>
      <c r="B31" s="381" t="s">
        <v>1162</v>
      </c>
      <c r="C31" s="444">
        <v>849664</v>
      </c>
      <c r="D31" s="379" t="s">
        <v>536</v>
      </c>
      <c r="E31" s="394">
        <v>0.24</v>
      </c>
      <c r="F31" s="409"/>
    </row>
    <row r="32" spans="1:7">
      <c r="A32" s="567"/>
      <c r="B32" s="568" t="s">
        <v>599</v>
      </c>
      <c r="C32" s="569">
        <v>3153</v>
      </c>
      <c r="D32" s="570" t="s">
        <v>505</v>
      </c>
      <c r="E32" s="571">
        <v>0.82</v>
      </c>
      <c r="F32" s="572" t="s">
        <v>1585</v>
      </c>
      <c r="G32" s="573"/>
    </row>
    <row r="33" spans="1:7">
      <c r="A33" s="1">
        <v>1114</v>
      </c>
      <c r="B33" s="393" t="s">
        <v>1586</v>
      </c>
      <c r="C33" s="444">
        <v>52740.19</v>
      </c>
      <c r="D33" s="379" t="s">
        <v>536</v>
      </c>
      <c r="E33" s="381">
        <v>5.7000000000000002E-2</v>
      </c>
      <c r="F33" s="409"/>
    </row>
    <row r="34" spans="1:7">
      <c r="A34" s="1">
        <v>12</v>
      </c>
      <c r="B34" s="38" t="s">
        <v>623</v>
      </c>
      <c r="C34" s="444">
        <v>52740.19</v>
      </c>
      <c r="D34" s="379" t="s">
        <v>536</v>
      </c>
      <c r="E34" s="394">
        <v>0.88</v>
      </c>
      <c r="F34" s="409"/>
    </row>
    <row r="35" spans="1:7">
      <c r="A35" s="1">
        <v>2227</v>
      </c>
      <c r="B35" s="396" t="s">
        <v>623</v>
      </c>
      <c r="C35" s="444">
        <v>52740.19</v>
      </c>
      <c r="D35" s="379" t="s">
        <v>536</v>
      </c>
      <c r="E35" s="397">
        <v>0.15</v>
      </c>
      <c r="F35" s="409"/>
    </row>
    <row r="36" spans="1:7">
      <c r="A36" s="1">
        <v>13</v>
      </c>
      <c r="B36" s="38" t="s">
        <v>235</v>
      </c>
      <c r="C36" s="444">
        <v>7104.81</v>
      </c>
      <c r="D36" s="379" t="s">
        <v>539</v>
      </c>
      <c r="E36" s="394">
        <v>0.79</v>
      </c>
      <c r="F36" s="409"/>
    </row>
    <row r="37" spans="1:7">
      <c r="A37" s="1">
        <v>14</v>
      </c>
      <c r="B37" s="38" t="s">
        <v>1587</v>
      </c>
      <c r="C37" s="444">
        <v>2181.88</v>
      </c>
      <c r="D37" s="379" t="s">
        <v>505</v>
      </c>
      <c r="E37" s="397">
        <v>0</v>
      </c>
      <c r="F37" s="409"/>
    </row>
    <row r="38" spans="1:7">
      <c r="A38" s="1">
        <v>1109</v>
      </c>
      <c r="B38" s="393" t="s">
        <v>1588</v>
      </c>
      <c r="C38" s="444">
        <v>2181.88</v>
      </c>
      <c r="D38" s="379" t="s">
        <v>505</v>
      </c>
      <c r="E38" s="397">
        <v>0</v>
      </c>
      <c r="F38" s="409"/>
    </row>
    <row r="39" spans="1:7">
      <c r="A39" s="1">
        <v>2201</v>
      </c>
      <c r="B39" s="396" t="s">
        <v>1587</v>
      </c>
      <c r="C39" s="444">
        <v>2181.88</v>
      </c>
      <c r="D39" s="379" t="s">
        <v>505</v>
      </c>
      <c r="E39" s="397">
        <v>0</v>
      </c>
      <c r="F39" s="409"/>
    </row>
    <row r="40" spans="1:7">
      <c r="A40" s="1">
        <v>15</v>
      </c>
      <c r="B40" s="1" t="s">
        <v>1589</v>
      </c>
      <c r="C40" s="444">
        <v>15876.48</v>
      </c>
      <c r="D40" s="1" t="s">
        <v>539</v>
      </c>
      <c r="E40" s="1">
        <v>0.22</v>
      </c>
      <c r="F40" s="1" t="s">
        <v>1590</v>
      </c>
      <c r="G40" s="1" t="s">
        <v>1562</v>
      </c>
    </row>
    <row r="41" spans="1:7">
      <c r="A41" s="396">
        <v>2202</v>
      </c>
      <c r="B41" s="396" t="s">
        <v>1591</v>
      </c>
      <c r="C41" s="577">
        <v>15876.48</v>
      </c>
      <c r="D41" s="396" t="s">
        <v>539</v>
      </c>
      <c r="E41" s="396">
        <v>1.66</v>
      </c>
      <c r="F41" s="396" t="s">
        <v>1590</v>
      </c>
      <c r="G41" s="396"/>
    </row>
    <row r="42" spans="1:7">
      <c r="A42" s="1"/>
      <c r="B42" s="393" t="s">
        <v>607</v>
      </c>
      <c r="C42" s="444" t="s">
        <v>1592</v>
      </c>
      <c r="D42" s="379" t="s">
        <v>536</v>
      </c>
      <c r="E42" s="397">
        <v>0</v>
      </c>
      <c r="F42" s="411" t="s">
        <v>1562</v>
      </c>
    </row>
    <row r="43" spans="1:7">
      <c r="A43" s="1"/>
      <c r="B43" s="396" t="s">
        <v>607</v>
      </c>
      <c r="C43" s="444" t="s">
        <v>1592</v>
      </c>
      <c r="D43" s="379" t="s">
        <v>536</v>
      </c>
      <c r="E43" s="381">
        <v>0.13</v>
      </c>
      <c r="F43" s="411"/>
    </row>
    <row r="44" spans="1:7">
      <c r="A44" s="1">
        <v>16</v>
      </c>
      <c r="B44" s="38" t="s">
        <v>1593</v>
      </c>
      <c r="C44" s="444">
        <v>1747.25</v>
      </c>
      <c r="D44" s="379" t="s">
        <v>505</v>
      </c>
      <c r="E44" s="394">
        <v>0.66</v>
      </c>
      <c r="F44" s="409"/>
    </row>
    <row r="45" spans="1:7">
      <c r="A45" s="1">
        <v>17</v>
      </c>
      <c r="B45" s="38" t="s">
        <v>1594</v>
      </c>
      <c r="C45" s="444">
        <v>360584</v>
      </c>
      <c r="D45" s="379" t="s">
        <v>536</v>
      </c>
      <c r="E45" s="394">
        <v>0.02</v>
      </c>
      <c r="F45" s="409"/>
    </row>
    <row r="46" spans="1:7">
      <c r="A46" s="1">
        <v>18</v>
      </c>
      <c r="B46" s="38" t="s">
        <v>1595</v>
      </c>
      <c r="C46" s="444">
        <v>422.45</v>
      </c>
      <c r="D46" s="379" t="s">
        <v>505</v>
      </c>
      <c r="E46" s="394">
        <v>1.08</v>
      </c>
      <c r="F46" s="409"/>
    </row>
    <row r="47" spans="1:7">
      <c r="A47" s="1">
        <v>1102</v>
      </c>
      <c r="B47" s="393" t="s">
        <v>1596</v>
      </c>
      <c r="C47" s="444">
        <v>422.45</v>
      </c>
      <c r="D47" s="379" t="s">
        <v>505</v>
      </c>
      <c r="E47" s="381">
        <v>1.86</v>
      </c>
      <c r="F47" s="409"/>
    </row>
    <row r="48" spans="1:7">
      <c r="A48" s="1">
        <v>19</v>
      </c>
      <c r="B48" s="38" t="s">
        <v>626</v>
      </c>
      <c r="C48" s="444">
        <v>505930.35</v>
      </c>
      <c r="D48" s="379" t="s">
        <v>536</v>
      </c>
      <c r="E48" s="394">
        <v>0.37</v>
      </c>
      <c r="F48" s="409"/>
    </row>
    <row r="49" spans="1:6">
      <c r="A49" s="1">
        <v>20</v>
      </c>
      <c r="B49" s="38" t="s">
        <v>612</v>
      </c>
      <c r="C49" s="444">
        <v>44985.63</v>
      </c>
      <c r="D49" s="379" t="s">
        <v>536</v>
      </c>
      <c r="E49" s="394">
        <v>0.15</v>
      </c>
      <c r="F49" s="409"/>
    </row>
    <row r="50" spans="1:6">
      <c r="A50" s="1">
        <v>2230</v>
      </c>
      <c r="B50" s="396" t="s">
        <v>612</v>
      </c>
      <c r="C50" s="444">
        <v>44985.63</v>
      </c>
      <c r="D50" s="379" t="s">
        <v>536</v>
      </c>
      <c r="E50" s="397">
        <v>0.1</v>
      </c>
      <c r="F50" s="409"/>
    </row>
    <row r="51" spans="1:6">
      <c r="A51" s="1">
        <v>21</v>
      </c>
      <c r="B51" s="38" t="s">
        <v>1597</v>
      </c>
      <c r="C51" s="444">
        <v>7905.03</v>
      </c>
      <c r="D51" s="379" t="s">
        <v>539</v>
      </c>
      <c r="E51" s="394">
        <v>0</v>
      </c>
      <c r="F51" s="409"/>
    </row>
    <row r="52" spans="1:6">
      <c r="A52" s="1"/>
      <c r="B52" s="1" t="s">
        <v>275</v>
      </c>
      <c r="C52" s="444">
        <v>1034.8599999999999</v>
      </c>
      <c r="D52" s="379" t="s">
        <v>505</v>
      </c>
      <c r="E52" s="397">
        <v>0</v>
      </c>
      <c r="F52" s="409"/>
    </row>
    <row r="53" spans="1:6">
      <c r="A53" s="1">
        <v>2207</v>
      </c>
      <c r="B53" s="396" t="s">
        <v>1454</v>
      </c>
      <c r="C53" s="444">
        <v>71589.039999999994</v>
      </c>
      <c r="D53" s="379" t="s">
        <v>536</v>
      </c>
      <c r="E53" s="397">
        <v>1.1200000000000001</v>
      </c>
      <c r="F53" s="409"/>
    </row>
    <row r="54" spans="1:6">
      <c r="A54" s="1">
        <v>22</v>
      </c>
      <c r="B54" s="38" t="s">
        <v>541</v>
      </c>
      <c r="C54" s="444">
        <v>4171.09</v>
      </c>
      <c r="D54" s="379" t="s">
        <v>505</v>
      </c>
      <c r="E54" s="394">
        <v>0.24</v>
      </c>
      <c r="F54" s="411" t="s">
        <v>1566</v>
      </c>
    </row>
    <row r="55" spans="1:6">
      <c r="A55" s="1">
        <v>2223</v>
      </c>
      <c r="B55" s="396" t="s">
        <v>541</v>
      </c>
      <c r="C55" s="444">
        <v>4171.09</v>
      </c>
      <c r="D55" s="379" t="s">
        <v>505</v>
      </c>
      <c r="E55" s="397">
        <v>0.24</v>
      </c>
      <c r="F55" s="411" t="s">
        <v>1566</v>
      </c>
    </row>
    <row r="56" spans="1:6">
      <c r="A56" s="1">
        <v>23</v>
      </c>
      <c r="B56" s="38" t="s">
        <v>1598</v>
      </c>
      <c r="C56" s="444">
        <v>23904.9</v>
      </c>
      <c r="D56" s="379" t="s">
        <v>536</v>
      </c>
      <c r="E56" s="394">
        <v>0</v>
      </c>
      <c r="F56" s="409"/>
    </row>
    <row r="57" spans="1:6">
      <c r="A57" s="1"/>
      <c r="B57" s="399" t="s">
        <v>1455</v>
      </c>
      <c r="C57" s="444"/>
      <c r="D57" s="379" t="s">
        <v>536</v>
      </c>
      <c r="E57" s="394">
        <v>0.16</v>
      </c>
      <c r="F57" s="409"/>
    </row>
    <row r="58" spans="1:6">
      <c r="A58" s="1">
        <v>24</v>
      </c>
      <c r="B58" s="38" t="s">
        <v>1599</v>
      </c>
      <c r="C58" s="444">
        <v>2280.62</v>
      </c>
      <c r="D58" s="379" t="s">
        <v>505</v>
      </c>
      <c r="E58" s="394">
        <v>0.08</v>
      </c>
      <c r="F58" s="409"/>
    </row>
    <row r="59" spans="1:6">
      <c r="A59" s="1">
        <v>2217</v>
      </c>
      <c r="B59" s="396" t="s">
        <v>1599</v>
      </c>
      <c r="C59" s="444">
        <v>2280.62</v>
      </c>
      <c r="D59" s="379" t="s">
        <v>505</v>
      </c>
      <c r="E59" s="397">
        <v>0.38</v>
      </c>
      <c r="F59" s="409"/>
    </row>
    <row r="60" spans="1:6">
      <c r="A60" s="1">
        <v>25</v>
      </c>
      <c r="B60" s="38" t="s">
        <v>1600</v>
      </c>
      <c r="C60" s="444">
        <v>1829.73</v>
      </c>
      <c r="D60" s="379" t="s">
        <v>505</v>
      </c>
      <c r="E60" s="394">
        <v>0</v>
      </c>
      <c r="F60" s="409"/>
    </row>
    <row r="61" spans="1:6">
      <c r="A61" s="1">
        <v>2233</v>
      </c>
      <c r="B61" s="396" t="s">
        <v>1600</v>
      </c>
      <c r="C61" s="444">
        <v>1829.73</v>
      </c>
      <c r="D61" s="379" t="s">
        <v>505</v>
      </c>
      <c r="E61" s="397">
        <v>0</v>
      </c>
      <c r="F61" s="409"/>
    </row>
    <row r="62" spans="1:6">
      <c r="A62" s="1">
        <v>2228</v>
      </c>
      <c r="B62" s="396" t="s">
        <v>1601</v>
      </c>
      <c r="C62" s="444">
        <v>2245.62</v>
      </c>
      <c r="D62" s="379" t="s">
        <v>505</v>
      </c>
      <c r="E62" s="397">
        <v>0.13</v>
      </c>
      <c r="F62" s="409"/>
    </row>
    <row r="63" spans="1:6">
      <c r="A63" s="1">
        <v>26</v>
      </c>
      <c r="B63" s="38" t="s">
        <v>564</v>
      </c>
      <c r="C63" s="444">
        <v>3302.33</v>
      </c>
      <c r="D63" s="379" t="s">
        <v>505</v>
      </c>
      <c r="E63" s="394">
        <v>4.13</v>
      </c>
      <c r="F63" s="409"/>
    </row>
    <row r="64" spans="1:6">
      <c r="A64" s="1"/>
      <c r="B64" s="393" t="s">
        <v>629</v>
      </c>
      <c r="C64" s="444">
        <v>29116.53</v>
      </c>
      <c r="D64" s="379" t="s">
        <v>536</v>
      </c>
      <c r="E64" s="394">
        <v>0.11</v>
      </c>
      <c r="F64" s="409"/>
    </row>
    <row r="65" spans="1:6">
      <c r="A65" s="1"/>
      <c r="B65" s="38" t="s">
        <v>629</v>
      </c>
      <c r="C65" s="444">
        <v>29116.53</v>
      </c>
      <c r="D65" s="379" t="s">
        <v>536</v>
      </c>
      <c r="E65" s="394">
        <v>0.3</v>
      </c>
      <c r="F65" s="411" t="s">
        <v>1562</v>
      </c>
    </row>
    <row r="66" spans="1:6">
      <c r="A66" s="1">
        <v>2214</v>
      </c>
      <c r="B66" s="396" t="s">
        <v>629</v>
      </c>
      <c r="C66" s="444">
        <v>29116.53</v>
      </c>
      <c r="D66" s="379" t="s">
        <v>536</v>
      </c>
      <c r="E66" s="397">
        <v>0.82</v>
      </c>
      <c r="F66" s="409"/>
    </row>
    <row r="67" spans="1:6">
      <c r="A67" s="1">
        <v>2231</v>
      </c>
      <c r="B67" s="396" t="s">
        <v>1602</v>
      </c>
      <c r="C67" s="444">
        <v>12864.16</v>
      </c>
      <c r="D67" s="379" t="s">
        <v>539</v>
      </c>
      <c r="E67" s="397">
        <v>7.0000000000000007E-2</v>
      </c>
      <c r="F67" s="409"/>
    </row>
    <row r="68" spans="1:6">
      <c r="A68" s="1">
        <v>27</v>
      </c>
      <c r="B68" s="38" t="s">
        <v>1603</v>
      </c>
      <c r="C68" s="444">
        <v>1911.46</v>
      </c>
      <c r="D68" s="379" t="s">
        <v>505</v>
      </c>
      <c r="E68" s="394">
        <v>1.04</v>
      </c>
      <c r="F68" s="409"/>
    </row>
    <row r="69" spans="1:6">
      <c r="A69" s="1">
        <v>28</v>
      </c>
      <c r="B69" s="38" t="s">
        <v>592</v>
      </c>
      <c r="C69" s="444">
        <v>1686.98</v>
      </c>
      <c r="D69" s="379" t="s">
        <v>505</v>
      </c>
      <c r="E69" s="394">
        <v>0.01</v>
      </c>
      <c r="F69" s="409"/>
    </row>
    <row r="70" spans="1:6">
      <c r="A70" s="1">
        <v>2221</v>
      </c>
      <c r="B70" s="396" t="s">
        <v>592</v>
      </c>
      <c r="C70" s="444">
        <v>1686.98</v>
      </c>
      <c r="D70" s="379" t="s">
        <v>505</v>
      </c>
      <c r="E70" s="397">
        <v>0.25</v>
      </c>
      <c r="F70" s="409"/>
    </row>
    <row r="71" spans="1:6">
      <c r="A71" s="1">
        <v>29</v>
      </c>
      <c r="B71" s="38" t="s">
        <v>1604</v>
      </c>
      <c r="C71" s="444"/>
      <c r="D71" s="379" t="s">
        <v>539</v>
      </c>
      <c r="E71" s="394">
        <v>0.01</v>
      </c>
      <c r="F71" s="409"/>
    </row>
    <row r="72" spans="1:6">
      <c r="A72" s="1">
        <v>30</v>
      </c>
      <c r="B72" s="38" t="s">
        <v>1605</v>
      </c>
      <c r="C72" s="444">
        <v>707.19</v>
      </c>
      <c r="D72" s="379" t="s">
        <v>505</v>
      </c>
      <c r="E72" s="394">
        <v>0.23</v>
      </c>
      <c r="F72" s="409"/>
    </row>
    <row r="73" spans="1:6">
      <c r="A73" s="1">
        <v>2226</v>
      </c>
      <c r="B73" s="396" t="s">
        <v>1605</v>
      </c>
      <c r="C73" s="444">
        <v>707.19</v>
      </c>
      <c r="D73" s="379" t="s">
        <v>505</v>
      </c>
      <c r="E73" s="397">
        <v>0.18</v>
      </c>
      <c r="F73" s="409"/>
    </row>
    <row r="74" spans="1:6">
      <c r="A74" s="1">
        <v>31</v>
      </c>
      <c r="B74" s="38" t="s">
        <v>600</v>
      </c>
      <c r="C74" s="444">
        <v>9257.8799999999992</v>
      </c>
      <c r="D74" s="379" t="s">
        <v>539</v>
      </c>
      <c r="E74" s="394">
        <v>2.4700000000000002</v>
      </c>
      <c r="F74" s="409"/>
    </row>
    <row r="75" spans="1:6">
      <c r="A75" s="1"/>
      <c r="B75" s="1" t="s">
        <v>632</v>
      </c>
      <c r="C75" s="444">
        <v>9574</v>
      </c>
      <c r="D75" s="379" t="s">
        <v>539</v>
      </c>
      <c r="E75" s="397">
        <v>0.73</v>
      </c>
      <c r="F75" s="409"/>
    </row>
    <row r="76" spans="1:6">
      <c r="A76" s="1">
        <v>32</v>
      </c>
      <c r="B76" s="38" t="s">
        <v>633</v>
      </c>
      <c r="C76" s="444">
        <v>2041956.23</v>
      </c>
      <c r="D76" s="379" t="s">
        <v>536</v>
      </c>
      <c r="E76" s="394">
        <v>0.15</v>
      </c>
      <c r="F76" s="409"/>
    </row>
    <row r="77" spans="1:6">
      <c r="A77" s="1"/>
      <c r="B77" s="1" t="s">
        <v>1606</v>
      </c>
      <c r="C77" s="444">
        <v>720.96</v>
      </c>
      <c r="D77" s="379" t="s">
        <v>505</v>
      </c>
      <c r="E77" s="394">
        <v>0.26</v>
      </c>
      <c r="F77" s="409"/>
    </row>
    <row r="78" spans="1:6">
      <c r="A78" s="1">
        <v>2220</v>
      </c>
      <c r="B78" s="396" t="s">
        <v>1606</v>
      </c>
      <c r="C78" s="444">
        <v>720.96</v>
      </c>
      <c r="D78" s="379" t="s">
        <v>505</v>
      </c>
      <c r="E78" s="397">
        <v>0.75</v>
      </c>
      <c r="F78" s="409"/>
    </row>
    <row r="79" spans="1:6">
      <c r="A79" s="1">
        <v>2222</v>
      </c>
      <c r="B79" s="396" t="s">
        <v>1607</v>
      </c>
      <c r="C79" s="444">
        <v>448.81</v>
      </c>
      <c r="D79" s="379" t="s">
        <v>505</v>
      </c>
      <c r="E79" s="397">
        <v>0</v>
      </c>
      <c r="F79" s="409"/>
    </row>
    <row r="80" spans="1:6">
      <c r="A80" s="1">
        <v>33</v>
      </c>
      <c r="B80" s="38" t="s">
        <v>194</v>
      </c>
      <c r="C80" s="444">
        <v>118.35</v>
      </c>
      <c r="D80" s="379" t="s">
        <v>505</v>
      </c>
      <c r="E80" s="394">
        <v>2.1</v>
      </c>
      <c r="F80" s="409"/>
    </row>
    <row r="81" spans="1:17">
      <c r="A81" s="1">
        <v>2209</v>
      </c>
      <c r="B81" s="396" t="s">
        <v>1456</v>
      </c>
      <c r="C81" s="444">
        <v>3839.32</v>
      </c>
      <c r="D81" s="379" t="s">
        <v>505</v>
      </c>
      <c r="E81" s="397">
        <v>0.77</v>
      </c>
      <c r="F81" s="409"/>
    </row>
    <row r="82" spans="1:17">
      <c r="A82" s="1">
        <v>34</v>
      </c>
      <c r="B82" s="38" t="s">
        <v>1608</v>
      </c>
      <c r="C82" s="444">
        <v>3839.32</v>
      </c>
      <c r="D82" s="379" t="s">
        <v>505</v>
      </c>
      <c r="E82" s="394">
        <v>0.87</v>
      </c>
      <c r="F82" s="409"/>
    </row>
    <row r="83" spans="1:17">
      <c r="A83" s="1">
        <v>36</v>
      </c>
      <c r="B83" s="38" t="s">
        <v>1609</v>
      </c>
      <c r="C83" s="444">
        <v>448.81</v>
      </c>
      <c r="D83" s="379" t="s">
        <v>505</v>
      </c>
      <c r="E83" s="394">
        <v>0.01</v>
      </c>
      <c r="F83" s="409"/>
    </row>
    <row r="84" spans="1:17">
      <c r="A84" s="1">
        <v>37</v>
      </c>
      <c r="B84" s="38" t="s">
        <v>595</v>
      </c>
      <c r="C84" s="444">
        <v>263.97000000000003</v>
      </c>
      <c r="D84" s="379" t="s">
        <v>505</v>
      </c>
      <c r="E84" s="394">
        <v>2.14</v>
      </c>
      <c r="F84" s="409"/>
    </row>
    <row r="85" spans="1:17">
      <c r="A85" s="1">
        <v>38</v>
      </c>
      <c r="B85" s="38" t="s">
        <v>203</v>
      </c>
      <c r="C85" s="444">
        <v>448.73</v>
      </c>
      <c r="D85" s="379" t="s">
        <v>505</v>
      </c>
      <c r="E85" s="394">
        <v>0.19</v>
      </c>
      <c r="F85" s="409"/>
    </row>
    <row r="86" spans="1:17">
      <c r="A86" s="1">
        <v>2219</v>
      </c>
      <c r="B86" s="396" t="s">
        <v>203</v>
      </c>
      <c r="C86" s="444">
        <v>448.73</v>
      </c>
      <c r="D86" s="379" t="s">
        <v>505</v>
      </c>
      <c r="E86" s="397">
        <v>0.35</v>
      </c>
      <c r="F86" s="409"/>
    </row>
    <row r="87" spans="1:17">
      <c r="A87" s="1">
        <v>2234</v>
      </c>
      <c r="B87" s="396" t="s">
        <v>602</v>
      </c>
      <c r="C87" s="444">
        <v>40480</v>
      </c>
      <c r="D87" s="379" t="s">
        <v>536</v>
      </c>
      <c r="E87" s="397">
        <v>0.03</v>
      </c>
      <c r="F87" s="409"/>
    </row>
    <row r="88" spans="1:17" s="293" customFormat="1">
      <c r="A88" s="1"/>
      <c r="B88" s="38" t="s">
        <v>1610</v>
      </c>
      <c r="C88" s="444" t="s">
        <v>1611</v>
      </c>
      <c r="D88" s="379" t="s">
        <v>536</v>
      </c>
      <c r="E88" s="397">
        <v>0</v>
      </c>
      <c r="F88" s="409"/>
      <c r="G88" s="378"/>
      <c r="H88"/>
      <c r="I88"/>
      <c r="J88"/>
      <c r="K88"/>
      <c r="L88"/>
      <c r="M88"/>
      <c r="N88"/>
      <c r="O88"/>
      <c r="P88"/>
      <c r="Q88"/>
    </row>
    <row r="89" spans="1:17" s="293" customFormat="1">
      <c r="A89" s="1"/>
      <c r="B89" s="443" t="s">
        <v>634</v>
      </c>
      <c r="C89" s="444">
        <v>35910.089999999997</v>
      </c>
      <c r="D89" s="379" t="s">
        <v>536</v>
      </c>
      <c r="E89" s="397">
        <v>0.34</v>
      </c>
      <c r="F89" s="409"/>
      <c r="G89" s="378"/>
      <c r="H89"/>
      <c r="I89"/>
      <c r="J89"/>
      <c r="K89"/>
      <c r="L89"/>
      <c r="M89"/>
      <c r="N89"/>
      <c r="O89"/>
      <c r="P89"/>
      <c r="Q89"/>
    </row>
    <row r="90" spans="1:17">
      <c r="A90" s="1">
        <v>1107</v>
      </c>
      <c r="B90" s="393" t="s">
        <v>1612</v>
      </c>
      <c r="C90" s="444">
        <v>35910.089999999997</v>
      </c>
      <c r="D90" s="379" t="s">
        <v>536</v>
      </c>
      <c r="E90" s="381">
        <v>0.54</v>
      </c>
      <c r="F90" s="409"/>
    </row>
    <row r="91" spans="1:17">
      <c r="A91" s="396">
        <v>2208</v>
      </c>
      <c r="B91" s="396" t="s">
        <v>634</v>
      </c>
      <c r="C91" s="38">
        <v>35910.089999999997</v>
      </c>
      <c r="D91" s="38" t="s">
        <v>536</v>
      </c>
      <c r="E91" s="38">
        <v>0.91</v>
      </c>
      <c r="F91" s="409"/>
    </row>
    <row r="92" spans="1:17">
      <c r="A92" s="1">
        <v>1103</v>
      </c>
      <c r="B92" s="393" t="s">
        <v>1613</v>
      </c>
      <c r="C92" s="444">
        <v>3304.45</v>
      </c>
      <c r="D92" s="379" t="s">
        <v>505</v>
      </c>
      <c r="E92" s="381">
        <v>0.9</v>
      </c>
      <c r="F92" s="409"/>
    </row>
    <row r="93" spans="1:17">
      <c r="A93" s="1">
        <v>39</v>
      </c>
      <c r="B93" s="38" t="s">
        <v>1614</v>
      </c>
      <c r="C93" s="444">
        <v>3304.45</v>
      </c>
      <c r="D93" s="379" t="s">
        <v>505</v>
      </c>
      <c r="E93" s="394">
        <v>0.08</v>
      </c>
      <c r="F93" s="409"/>
    </row>
    <row r="94" spans="1:17">
      <c r="A94" s="1">
        <v>2229</v>
      </c>
      <c r="B94" s="396" t="s">
        <v>1614</v>
      </c>
      <c r="C94" s="444">
        <v>3304.45</v>
      </c>
      <c r="D94" s="379" t="s">
        <v>505</v>
      </c>
      <c r="E94" s="397">
        <v>0</v>
      </c>
      <c r="F94" s="409"/>
    </row>
    <row r="95" spans="1:17">
      <c r="A95" s="1">
        <v>40</v>
      </c>
      <c r="B95" s="38" t="s">
        <v>1615</v>
      </c>
      <c r="C95" s="444">
        <v>780.72</v>
      </c>
      <c r="D95" s="379" t="s">
        <v>505</v>
      </c>
      <c r="E95" s="394">
        <v>2.57</v>
      </c>
      <c r="F95" s="409"/>
    </row>
    <row r="96" spans="1:17">
      <c r="A96" s="1">
        <v>41</v>
      </c>
      <c r="B96" s="38" t="s">
        <v>1616</v>
      </c>
      <c r="C96" s="444">
        <v>1885.37</v>
      </c>
      <c r="D96" s="379" t="s">
        <v>505</v>
      </c>
      <c r="E96" s="394">
        <v>7.0000000000000007E-2</v>
      </c>
      <c r="F96" s="409"/>
    </row>
    <row r="97" spans="1:6">
      <c r="A97" s="1">
        <v>42</v>
      </c>
      <c r="B97" s="38" t="s">
        <v>207</v>
      </c>
      <c r="C97" s="444">
        <v>16011.01</v>
      </c>
      <c r="D97" s="379" t="s">
        <v>539</v>
      </c>
      <c r="E97" s="394">
        <v>1.71</v>
      </c>
      <c r="F97" s="409"/>
    </row>
    <row r="98" spans="1:6">
      <c r="A98" s="1">
        <v>1112</v>
      </c>
      <c r="B98" s="393" t="s">
        <v>207</v>
      </c>
      <c r="C98" s="444">
        <v>16011.01</v>
      </c>
      <c r="D98" s="379" t="s">
        <v>539</v>
      </c>
      <c r="E98" s="381">
        <v>0.21</v>
      </c>
      <c r="F98" s="409"/>
    </row>
    <row r="99" spans="1:6">
      <c r="A99" s="1">
        <v>43</v>
      </c>
      <c r="B99" s="38" t="s">
        <v>1617</v>
      </c>
      <c r="C99" s="444">
        <v>43354.37</v>
      </c>
      <c r="D99" s="379" t="s">
        <v>536</v>
      </c>
      <c r="E99" s="394">
        <v>0</v>
      </c>
      <c r="F99" s="409"/>
    </row>
    <row r="100" spans="1:6">
      <c r="A100" s="1"/>
      <c r="B100" s="399" t="s">
        <v>598</v>
      </c>
      <c r="C100" s="444">
        <v>142096.75</v>
      </c>
      <c r="D100" s="379" t="s">
        <v>536</v>
      </c>
      <c r="E100" s="394">
        <v>0.43</v>
      </c>
      <c r="F100" s="409"/>
    </row>
    <row r="101" spans="1:6">
      <c r="A101" s="1">
        <v>44</v>
      </c>
      <c r="B101" s="38" t="s">
        <v>598</v>
      </c>
      <c r="C101" s="444">
        <v>142096.75</v>
      </c>
      <c r="D101" s="379" t="s">
        <v>536</v>
      </c>
      <c r="E101" s="394">
        <v>0.21</v>
      </c>
      <c r="F101" s="409"/>
    </row>
    <row r="102" spans="1:6">
      <c r="A102" s="1"/>
      <c r="B102" s="393" t="s">
        <v>209</v>
      </c>
      <c r="C102" s="444">
        <v>19892</v>
      </c>
      <c r="D102" s="379" t="s">
        <v>536</v>
      </c>
      <c r="E102" s="394">
        <v>0.3</v>
      </c>
      <c r="F102" s="409"/>
    </row>
    <row r="103" spans="1:6">
      <c r="A103" s="1"/>
      <c r="B103" s="38" t="s">
        <v>209</v>
      </c>
      <c r="C103" s="444">
        <v>19892</v>
      </c>
      <c r="D103" s="379" t="s">
        <v>536</v>
      </c>
      <c r="E103" s="397">
        <v>0</v>
      </c>
      <c r="F103" s="409"/>
    </row>
    <row r="104" spans="1:6">
      <c r="A104" s="1"/>
      <c r="B104" s="399" t="s">
        <v>209</v>
      </c>
      <c r="C104" s="444">
        <v>19892</v>
      </c>
      <c r="D104" s="379" t="s">
        <v>536</v>
      </c>
      <c r="E104" s="394">
        <v>2.5</v>
      </c>
      <c r="F104" s="409"/>
    </row>
    <row r="105" spans="1:6">
      <c r="A105" s="1">
        <v>1105</v>
      </c>
      <c r="B105" s="393" t="s">
        <v>1618</v>
      </c>
      <c r="C105" s="444">
        <v>3084.51</v>
      </c>
      <c r="D105" s="379" t="s">
        <v>505</v>
      </c>
      <c r="E105" s="381">
        <v>0.75</v>
      </c>
      <c r="F105" s="409"/>
    </row>
    <row r="106" spans="1:6">
      <c r="A106" s="1">
        <v>45</v>
      </c>
      <c r="B106" s="38" t="s">
        <v>636</v>
      </c>
      <c r="C106" s="444">
        <v>3084.51</v>
      </c>
      <c r="D106" s="379" t="s">
        <v>505</v>
      </c>
      <c r="E106" s="394">
        <v>1.75</v>
      </c>
      <c r="F106" s="409"/>
    </row>
    <row r="107" spans="1:6">
      <c r="A107" s="1">
        <v>2204</v>
      </c>
      <c r="B107" s="396" t="s">
        <v>636</v>
      </c>
      <c r="C107" s="444">
        <v>3084.51</v>
      </c>
      <c r="D107" s="379" t="s">
        <v>505</v>
      </c>
      <c r="E107" s="397">
        <v>2.27</v>
      </c>
      <c r="F107" s="409"/>
    </row>
    <row r="108" spans="1:6">
      <c r="A108" s="1">
        <v>46</v>
      </c>
      <c r="B108" s="38" t="s">
        <v>1619</v>
      </c>
      <c r="C108" s="444">
        <v>7911.5</v>
      </c>
      <c r="D108" s="379" t="s">
        <v>539</v>
      </c>
      <c r="E108" s="397">
        <v>0</v>
      </c>
      <c r="F108" s="409"/>
    </row>
    <row r="109" spans="1:6">
      <c r="A109" s="1">
        <v>47</v>
      </c>
      <c r="B109" s="38" t="s">
        <v>1459</v>
      </c>
      <c r="C109" s="444">
        <v>11354.68</v>
      </c>
      <c r="D109" s="379" t="s">
        <v>539</v>
      </c>
      <c r="E109" s="394">
        <v>0.19</v>
      </c>
      <c r="F109" s="409"/>
    </row>
    <row r="110" spans="1:6">
      <c r="A110" s="1">
        <v>2225</v>
      </c>
      <c r="B110" s="396" t="s">
        <v>1459</v>
      </c>
      <c r="C110" s="444">
        <v>11354.68</v>
      </c>
      <c r="D110" s="379" t="s">
        <v>539</v>
      </c>
      <c r="E110" s="397">
        <v>0.19</v>
      </c>
      <c r="F110" s="409"/>
    </row>
    <row r="111" spans="1:6">
      <c r="A111" s="1">
        <v>1111</v>
      </c>
      <c r="B111" s="393" t="s">
        <v>1620</v>
      </c>
      <c r="C111" s="444">
        <v>11354.68</v>
      </c>
      <c r="D111" s="379" t="s">
        <v>539</v>
      </c>
      <c r="E111" s="381">
        <v>0.11</v>
      </c>
      <c r="F111" s="409"/>
    </row>
    <row r="112" spans="1:6">
      <c r="A112" s="1"/>
      <c r="B112" s="381" t="s">
        <v>1460</v>
      </c>
      <c r="C112" s="444"/>
      <c r="D112" s="379"/>
      <c r="E112" s="381"/>
      <c r="F112" s="434" t="s">
        <v>1621</v>
      </c>
    </row>
    <row r="113" spans="1:6">
      <c r="A113" s="1"/>
      <c r="B113" s="381" t="s">
        <v>1460</v>
      </c>
      <c r="C113" s="444">
        <v>13787</v>
      </c>
      <c r="D113" s="379" t="s">
        <v>539</v>
      </c>
      <c r="E113" s="381">
        <v>0.27</v>
      </c>
      <c r="F113" s="409"/>
    </row>
    <row r="114" spans="1:6">
      <c r="A114" s="1">
        <v>48</v>
      </c>
      <c r="B114" s="38" t="s">
        <v>222</v>
      </c>
      <c r="C114" s="444">
        <v>8374.8700000000008</v>
      </c>
      <c r="D114" s="379" t="s">
        <v>539</v>
      </c>
      <c r="E114" s="394">
        <v>0.75</v>
      </c>
      <c r="F114" s="434" t="s">
        <v>1622</v>
      </c>
    </row>
    <row r="115" spans="1:6">
      <c r="A115" s="1">
        <v>2211</v>
      </c>
      <c r="B115" s="396" t="s">
        <v>222</v>
      </c>
      <c r="C115" s="444">
        <v>8374.8700000000008</v>
      </c>
      <c r="D115" s="379" t="s">
        <v>539</v>
      </c>
      <c r="E115" s="397">
        <v>0.67</v>
      </c>
      <c r="F115" s="409"/>
    </row>
    <row r="116" spans="1:6">
      <c r="A116" s="1">
        <v>49</v>
      </c>
      <c r="B116" s="38" t="s">
        <v>330</v>
      </c>
      <c r="C116" s="444">
        <v>4111.6099999999997</v>
      </c>
      <c r="D116" s="379" t="s">
        <v>505</v>
      </c>
      <c r="E116" s="397">
        <v>0</v>
      </c>
      <c r="F116" s="409"/>
    </row>
    <row r="117" spans="1:6">
      <c r="A117" s="1"/>
      <c r="B117" s="393" t="s">
        <v>1067</v>
      </c>
      <c r="C117" s="444">
        <v>12879.36</v>
      </c>
      <c r="D117" s="379" t="s">
        <v>539</v>
      </c>
      <c r="E117" s="394">
        <v>1.0900000000000001</v>
      </c>
      <c r="F117" s="409"/>
    </row>
    <row r="118" spans="1:6">
      <c r="A118" s="1"/>
      <c r="B118" s="38" t="s">
        <v>1067</v>
      </c>
      <c r="C118" s="444">
        <v>12879.36</v>
      </c>
      <c r="D118" s="379" t="s">
        <v>539</v>
      </c>
      <c r="E118" s="381">
        <v>0.13</v>
      </c>
      <c r="F118" s="409"/>
    </row>
    <row r="119" spans="1:6">
      <c r="A119" s="1">
        <v>2203</v>
      </c>
      <c r="B119" s="396" t="s">
        <v>1461</v>
      </c>
      <c r="C119" s="444">
        <v>12879.36</v>
      </c>
      <c r="D119" s="379" t="s">
        <v>539</v>
      </c>
      <c r="E119" s="397">
        <v>1.66</v>
      </c>
      <c r="F119" s="409"/>
    </row>
    <row r="120" spans="1:6">
      <c r="A120" s="1">
        <v>2215</v>
      </c>
      <c r="B120" s="396" t="s">
        <v>1623</v>
      </c>
      <c r="C120" s="444">
        <v>551.97</v>
      </c>
      <c r="D120" s="379" t="s">
        <v>505</v>
      </c>
      <c r="E120" s="397">
        <v>0.56000000000000005</v>
      </c>
      <c r="F120" s="409"/>
    </row>
    <row r="122" spans="1:6">
      <c r="D122" s="400" t="s">
        <v>1624</v>
      </c>
      <c r="E122" s="401">
        <f>SUM(E2:E120)</f>
        <v>64.886999999999986</v>
      </c>
    </row>
    <row r="123" spans="1:6">
      <c r="D123" s="400" t="s">
        <v>1625</v>
      </c>
      <c r="E123" s="401">
        <v>2</v>
      </c>
    </row>
    <row r="124" spans="1:6">
      <c r="D124" s="400" t="s">
        <v>511</v>
      </c>
      <c r="E124" s="398">
        <v>4.3</v>
      </c>
    </row>
  </sheetData>
  <autoFilter ref="A1:E120" xr:uid="{9FEF35E3-F7B0-403A-B403-2878DCAD98D5}"/>
  <sortState xmlns:xlrd2="http://schemas.microsoft.com/office/spreadsheetml/2017/richdata2" ref="A2:G123">
    <sortCondition ref="B1:B123"/>
  </sortState>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997CC0-7E79-45BD-B1A1-B85C82D7D287}">
  <dimension ref="A1:C7"/>
  <sheetViews>
    <sheetView workbookViewId="0">
      <selection activeCell="B15" sqref="B15"/>
    </sheetView>
  </sheetViews>
  <sheetFormatPr defaultRowHeight="14.45"/>
  <cols>
    <col min="1" max="1" width="12.5703125" bestFit="1" customWidth="1"/>
    <col min="2" max="3" width="13.7109375" bestFit="1" customWidth="1"/>
  </cols>
  <sheetData>
    <row r="1" spans="1:3">
      <c r="A1" s="402" t="s">
        <v>1555</v>
      </c>
      <c r="B1" t="s">
        <v>1626</v>
      </c>
    </row>
    <row r="3" spans="1:3">
      <c r="A3" s="403" t="s">
        <v>1627</v>
      </c>
      <c r="B3" s="378" t="s">
        <v>1628</v>
      </c>
      <c r="C3" s="404" t="s">
        <v>1629</v>
      </c>
    </row>
    <row r="4" spans="1:3">
      <c r="A4" s="405" t="s">
        <v>536</v>
      </c>
      <c r="B4" s="378">
        <v>8.7170000000000023</v>
      </c>
      <c r="C4" s="406">
        <f>GETPIVOTDATA("INVEST",$A$3,"CAP","LARGECAP")/GETPIVOTDATA("INVEST",$A$3)</f>
        <v>0.14071706458746994</v>
      </c>
    </row>
    <row r="5" spans="1:3">
      <c r="A5" s="405" t="s">
        <v>539</v>
      </c>
      <c r="B5" s="378">
        <v>17.2</v>
      </c>
      <c r="C5" s="406">
        <f>GETPIVOTDATA("INVEST",$A$3,"CAP","MIDCAP")/GETPIVOTDATA("INVEST",$A$3)</f>
        <v>0.27765670653946112</v>
      </c>
    </row>
    <row r="6" spans="1:3">
      <c r="A6" s="405" t="s">
        <v>505</v>
      </c>
      <c r="B6" s="378">
        <v>36.030000000000008</v>
      </c>
      <c r="C6" s="406">
        <f>GETPIVOTDATA("INVEST",$A$3,"CAP","SMALLCAP")/GETPIVOTDATA("INVEST",$A$3)</f>
        <v>0.58162622887306892</v>
      </c>
    </row>
    <row r="7" spans="1:3">
      <c r="A7" s="405" t="s">
        <v>1630</v>
      </c>
      <c r="B7" s="378">
        <v>61.94700000000001</v>
      </c>
      <c r="C7" s="378"/>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125"/>
  <sheetViews>
    <sheetView zoomScaleNormal="100" workbookViewId="0">
      <pane ySplit="1" topLeftCell="A182" activePane="bottomLeft" state="frozen"/>
      <selection pane="bottomLeft" activeCell="F196" sqref="F196"/>
    </sheetView>
  </sheetViews>
  <sheetFormatPr defaultRowHeight="14.45"/>
  <cols>
    <col min="2" max="2" width="32.5703125" bestFit="1" customWidth="1"/>
    <col min="3" max="3" width="14.28515625" style="3" customWidth="1"/>
    <col min="4" max="4" width="15.28515625" style="3" customWidth="1"/>
    <col min="5" max="5" width="10.42578125" bestFit="1" customWidth="1"/>
    <col min="6" max="6" width="22.7109375" customWidth="1"/>
    <col min="7" max="7" width="16.28515625" bestFit="1" customWidth="1"/>
    <col min="10" max="10" width="14" style="120" customWidth="1"/>
  </cols>
  <sheetData>
    <row r="1" spans="2:11" ht="20.25" customHeight="1">
      <c r="B1" s="101" t="s">
        <v>1</v>
      </c>
      <c r="C1" s="97" t="s">
        <v>616</v>
      </c>
      <c r="D1" s="97" t="s">
        <v>617</v>
      </c>
      <c r="E1" s="101" t="s">
        <v>1444</v>
      </c>
      <c r="F1" s="101" t="s">
        <v>1631</v>
      </c>
      <c r="G1" s="101" t="s">
        <v>1632</v>
      </c>
      <c r="H1" s="101" t="s">
        <v>1633</v>
      </c>
      <c r="I1" s="101"/>
      <c r="J1" s="117" t="s">
        <v>1634</v>
      </c>
      <c r="K1" s="117" t="s">
        <v>1635</v>
      </c>
    </row>
    <row r="2" spans="2:11">
      <c r="B2" s="98" t="s">
        <v>1636</v>
      </c>
      <c r="C2" s="99">
        <v>6363.96</v>
      </c>
      <c r="D2" s="99">
        <v>6333.7</v>
      </c>
      <c r="E2" s="100" t="s">
        <v>1637</v>
      </c>
      <c r="J2" s="120">
        <f>(D2-C2)/C2</f>
        <v>-4.7549010364616087E-3</v>
      </c>
      <c r="K2" s="154">
        <f>D2-C2</f>
        <v>-30.260000000000218</v>
      </c>
    </row>
    <row r="3" spans="2:11">
      <c r="B3" s="7" t="s">
        <v>1638</v>
      </c>
      <c r="C3" s="8">
        <v>4983.46</v>
      </c>
      <c r="D3" s="8">
        <v>4864.7</v>
      </c>
      <c r="E3" s="9" t="s">
        <v>1637</v>
      </c>
      <c r="J3" s="120">
        <f t="shared" ref="J3:J66" si="0">(D3-C3)/C3</f>
        <v>-2.3830832393557932E-2</v>
      </c>
      <c r="K3" s="154">
        <f t="shared" ref="K3:K66" si="1">D3-C3</f>
        <v>-118.76000000000022</v>
      </c>
    </row>
    <row r="4" spans="2:11">
      <c r="B4" s="7" t="s">
        <v>1639</v>
      </c>
      <c r="C4" s="8">
        <v>15603.4</v>
      </c>
      <c r="D4" s="8">
        <v>15353</v>
      </c>
      <c r="E4" s="9" t="s">
        <v>1637</v>
      </c>
      <c r="J4" s="120">
        <f t="shared" si="0"/>
        <v>-1.6047784457233656E-2</v>
      </c>
      <c r="K4" s="154">
        <f t="shared" si="1"/>
        <v>-250.39999999999964</v>
      </c>
    </row>
    <row r="5" spans="2:11">
      <c r="B5" s="7" t="s">
        <v>1640</v>
      </c>
      <c r="C5" s="8">
        <v>94382.93</v>
      </c>
      <c r="D5" s="8">
        <v>117652.05</v>
      </c>
      <c r="E5" s="9" t="s">
        <v>1637</v>
      </c>
      <c r="J5" s="120">
        <f t="shared" si="0"/>
        <v>0.24653949607201231</v>
      </c>
      <c r="K5" s="153">
        <f t="shared" si="1"/>
        <v>23269.12000000001</v>
      </c>
    </row>
    <row r="6" spans="2:11">
      <c r="B6" s="7" t="s">
        <v>1641</v>
      </c>
      <c r="C6" s="8">
        <v>2142.6</v>
      </c>
      <c r="D6" s="8">
        <v>2184.6</v>
      </c>
      <c r="E6" s="9" t="s">
        <v>1637</v>
      </c>
      <c r="J6" s="120">
        <f t="shared" si="0"/>
        <v>1.9602352282273874E-2</v>
      </c>
      <c r="K6" s="153">
        <f t="shared" si="1"/>
        <v>42</v>
      </c>
    </row>
    <row r="7" spans="2:11">
      <c r="B7" s="7" t="s">
        <v>1642</v>
      </c>
      <c r="C7" s="8">
        <v>27615.17</v>
      </c>
      <c r="D7" s="8">
        <v>25571.9</v>
      </c>
      <c r="E7" s="9" t="s">
        <v>1637</v>
      </c>
      <c r="J7" s="118">
        <f t="shared" si="0"/>
        <v>-7.3990853577942731E-2</v>
      </c>
      <c r="K7" s="154">
        <f t="shared" si="1"/>
        <v>-2043.2699999999968</v>
      </c>
    </row>
    <row r="8" spans="2:11">
      <c r="B8" s="7" t="s">
        <v>1643</v>
      </c>
      <c r="C8" s="8">
        <v>11124.24</v>
      </c>
      <c r="D8" s="8">
        <v>10628.4</v>
      </c>
      <c r="E8" s="9" t="s">
        <v>1637</v>
      </c>
      <c r="J8" s="120">
        <f t="shared" si="0"/>
        <v>-4.4572932622812901E-2</v>
      </c>
      <c r="K8" s="154">
        <f t="shared" si="1"/>
        <v>-495.84000000000015</v>
      </c>
    </row>
    <row r="9" spans="2:11">
      <c r="B9" s="7" t="s">
        <v>1644</v>
      </c>
      <c r="C9" s="8">
        <v>4922.5</v>
      </c>
      <c r="D9" s="8">
        <v>3009</v>
      </c>
      <c r="E9" s="9" t="s">
        <v>1637</v>
      </c>
      <c r="J9" s="118">
        <f t="shared" si="0"/>
        <v>-0.38872524123920771</v>
      </c>
      <c r="K9" s="154">
        <f t="shared" si="1"/>
        <v>-1913.5</v>
      </c>
    </row>
    <row r="10" spans="2:11">
      <c r="B10" s="7" t="s">
        <v>1645</v>
      </c>
      <c r="C10" s="8">
        <v>26316</v>
      </c>
      <c r="D10" s="8">
        <v>27804</v>
      </c>
      <c r="E10" s="9" t="s">
        <v>1637</v>
      </c>
      <c r="J10" s="120">
        <f t="shared" si="0"/>
        <v>5.6543547651618786E-2</v>
      </c>
      <c r="K10" s="153">
        <f t="shared" si="1"/>
        <v>1488</v>
      </c>
    </row>
    <row r="11" spans="2:11">
      <c r="B11" s="7" t="s">
        <v>1646</v>
      </c>
      <c r="C11" s="8">
        <v>6216</v>
      </c>
      <c r="D11" s="8">
        <v>4557</v>
      </c>
      <c r="E11" s="9" t="s">
        <v>1637</v>
      </c>
      <c r="J11" s="118">
        <f t="shared" si="0"/>
        <v>-0.26689189189189189</v>
      </c>
      <c r="K11" s="154">
        <f t="shared" si="1"/>
        <v>-1659</v>
      </c>
    </row>
    <row r="12" spans="2:11">
      <c r="B12" s="7" t="s">
        <v>1647</v>
      </c>
      <c r="C12" s="8">
        <v>9140.8799999999992</v>
      </c>
      <c r="D12" s="8">
        <v>8732.4</v>
      </c>
      <c r="E12" s="9" t="s">
        <v>1637</v>
      </c>
      <c r="J12" s="120">
        <f t="shared" si="0"/>
        <v>-4.468716359912827E-2</v>
      </c>
      <c r="K12" s="154">
        <f t="shared" si="1"/>
        <v>-408.47999999999956</v>
      </c>
    </row>
    <row r="13" spans="2:11">
      <c r="B13" s="7" t="s">
        <v>1648</v>
      </c>
      <c r="C13" s="8">
        <v>809.42</v>
      </c>
      <c r="D13" s="8">
        <v>739.2</v>
      </c>
      <c r="E13" s="9" t="s">
        <v>1637</v>
      </c>
      <c r="J13" s="118">
        <f t="shared" si="0"/>
        <v>-8.6753477798917636E-2</v>
      </c>
      <c r="K13" s="154">
        <f t="shared" si="1"/>
        <v>-70.219999999999914</v>
      </c>
    </row>
    <row r="14" spans="2:11">
      <c r="B14" s="7" t="s">
        <v>1649</v>
      </c>
      <c r="C14" s="8">
        <v>21702</v>
      </c>
      <c r="D14" s="8">
        <v>21382</v>
      </c>
      <c r="E14" s="9" t="s">
        <v>1637</v>
      </c>
      <c r="F14" s="4">
        <f>SUM(C2:C14)</f>
        <v>231322.56000000003</v>
      </c>
      <c r="G14" s="4">
        <f>SUM(D2:D14)</f>
        <v>248811.95</v>
      </c>
      <c r="H14" s="14">
        <f>G14-F14</f>
        <v>17489.389999999985</v>
      </c>
      <c r="I14" s="22">
        <f>H14/F14</f>
        <v>7.5606071452779977E-2</v>
      </c>
      <c r="J14" s="120">
        <f t="shared" si="0"/>
        <v>-1.4745184775596719E-2</v>
      </c>
      <c r="K14" s="154">
        <f t="shared" si="1"/>
        <v>-320</v>
      </c>
    </row>
    <row r="15" spans="2:11">
      <c r="B15" s="10" t="s">
        <v>68</v>
      </c>
      <c r="C15" s="11">
        <v>2689.02</v>
      </c>
      <c r="D15" s="11">
        <v>2774.7</v>
      </c>
      <c r="E15" s="12" t="s">
        <v>1650</v>
      </c>
      <c r="J15" s="120">
        <f t="shared" si="0"/>
        <v>3.1862909163933271E-2</v>
      </c>
      <c r="K15" s="153">
        <f t="shared" si="1"/>
        <v>85.679999999999836</v>
      </c>
    </row>
    <row r="16" spans="2:11">
      <c r="B16" s="10" t="s">
        <v>1651</v>
      </c>
      <c r="C16" s="11">
        <v>1364.35</v>
      </c>
      <c r="D16" s="13">
        <v>1188.3499999999999</v>
      </c>
      <c r="E16" s="12" t="s">
        <v>1650</v>
      </c>
      <c r="J16" s="118">
        <f t="shared" si="0"/>
        <v>-0.12899915710778026</v>
      </c>
      <c r="K16" s="154">
        <f t="shared" si="1"/>
        <v>-176</v>
      </c>
    </row>
    <row r="17" spans="2:12">
      <c r="B17" s="105" t="s">
        <v>1652</v>
      </c>
      <c r="C17" s="106">
        <v>1113.23</v>
      </c>
      <c r="D17" s="107">
        <v>1540.85</v>
      </c>
      <c r="E17" s="108" t="s">
        <v>1650</v>
      </c>
      <c r="J17" s="120">
        <f t="shared" si="0"/>
        <v>0.38412547272351616</v>
      </c>
      <c r="K17" s="153">
        <f t="shared" si="1"/>
        <v>427.61999999999989</v>
      </c>
    </row>
    <row r="18" spans="2:12">
      <c r="B18" s="102" t="s">
        <v>1653</v>
      </c>
      <c r="C18" s="103">
        <v>203850</v>
      </c>
      <c r="D18" s="104">
        <v>180320</v>
      </c>
      <c r="E18" s="89" t="s">
        <v>1650</v>
      </c>
      <c r="F18" s="83"/>
      <c r="G18" s="83"/>
      <c r="H18" s="83"/>
      <c r="I18" s="83"/>
      <c r="J18" s="119">
        <f t="shared" si="0"/>
        <v>-0.11542801079224921</v>
      </c>
      <c r="K18" s="154">
        <f t="shared" si="1"/>
        <v>-23530</v>
      </c>
      <c r="L18" t="s">
        <v>1654</v>
      </c>
    </row>
    <row r="19" spans="2:12">
      <c r="B19" s="109" t="s">
        <v>1449</v>
      </c>
      <c r="C19" s="110">
        <v>129176.1</v>
      </c>
      <c r="D19" s="111">
        <v>159097.5</v>
      </c>
      <c r="E19" s="112" t="s">
        <v>1650</v>
      </c>
      <c r="J19" s="120">
        <f t="shared" si="0"/>
        <v>0.23163263173295984</v>
      </c>
      <c r="K19" s="153">
        <f t="shared" si="1"/>
        <v>29921.399999999994</v>
      </c>
    </row>
    <row r="20" spans="2:12">
      <c r="B20" s="10" t="s">
        <v>83</v>
      </c>
      <c r="C20" s="11">
        <v>10618</v>
      </c>
      <c r="D20" s="13">
        <v>10750</v>
      </c>
      <c r="E20" s="12" t="s">
        <v>1650</v>
      </c>
      <c r="J20" s="120">
        <f t="shared" si="0"/>
        <v>1.2431719721228104E-2</v>
      </c>
      <c r="K20" s="153">
        <f t="shared" si="1"/>
        <v>132</v>
      </c>
    </row>
    <row r="21" spans="2:12">
      <c r="B21" s="10" t="s">
        <v>1655</v>
      </c>
      <c r="C21" s="11">
        <v>2090.5500000000002</v>
      </c>
      <c r="D21" s="13">
        <v>2073.4499999999998</v>
      </c>
      <c r="E21" s="12" t="s">
        <v>1650</v>
      </c>
      <c r="J21" s="120">
        <f t="shared" si="0"/>
        <v>-8.179665638229347E-3</v>
      </c>
      <c r="K21" s="154">
        <f t="shared" si="1"/>
        <v>-17.100000000000364</v>
      </c>
    </row>
    <row r="22" spans="2:12">
      <c r="B22" s="10" t="s">
        <v>1571</v>
      </c>
      <c r="C22" s="11">
        <v>66956.899999999994</v>
      </c>
      <c r="D22" s="13">
        <v>66360</v>
      </c>
      <c r="E22" s="12" t="s">
        <v>1650</v>
      </c>
      <c r="J22" s="120">
        <f t="shared" si="0"/>
        <v>-8.914689897531013E-3</v>
      </c>
      <c r="K22" s="154">
        <f t="shared" si="1"/>
        <v>-596.89999999999418</v>
      </c>
    </row>
    <row r="23" spans="2:12">
      <c r="B23" s="10" t="s">
        <v>1575</v>
      </c>
      <c r="C23" s="11">
        <v>78254.100000000006</v>
      </c>
      <c r="D23" s="13">
        <v>85174.5</v>
      </c>
      <c r="E23" s="12" t="s">
        <v>1650</v>
      </c>
      <c r="J23" s="120">
        <f t="shared" si="0"/>
        <v>8.843498295935924E-2</v>
      </c>
      <c r="K23" s="153">
        <f t="shared" si="1"/>
        <v>6920.3999999999942</v>
      </c>
    </row>
    <row r="24" spans="2:12">
      <c r="B24" s="10" t="s">
        <v>622</v>
      </c>
      <c r="C24" s="11">
        <v>93895</v>
      </c>
      <c r="D24" s="13">
        <v>87730</v>
      </c>
      <c r="E24" s="12" t="s">
        <v>1650</v>
      </c>
      <c r="J24" s="118">
        <f t="shared" si="0"/>
        <v>-6.5658448266680866E-2</v>
      </c>
      <c r="K24" s="154">
        <f t="shared" si="1"/>
        <v>-6165</v>
      </c>
    </row>
    <row r="25" spans="2:12">
      <c r="B25" s="10" t="s">
        <v>1656</v>
      </c>
      <c r="C25" s="11">
        <v>66625.820000000007</v>
      </c>
      <c r="D25" s="13">
        <v>67434.3</v>
      </c>
      <c r="E25" s="12" t="s">
        <v>1650</v>
      </c>
      <c r="J25" s="120">
        <f t="shared" si="0"/>
        <v>1.213463489079753E-2</v>
      </c>
      <c r="K25" s="153">
        <f t="shared" si="1"/>
        <v>808.47999999999593</v>
      </c>
    </row>
    <row r="26" spans="2:12">
      <c r="B26" s="105" t="s">
        <v>1582</v>
      </c>
      <c r="C26" s="106">
        <v>81348.479999999996</v>
      </c>
      <c r="D26" s="107">
        <v>81412.2</v>
      </c>
      <c r="E26" s="108" t="s">
        <v>1650</v>
      </c>
      <c r="J26" s="120">
        <f t="shared" si="0"/>
        <v>7.8329674998231275E-4</v>
      </c>
      <c r="K26" s="153">
        <f t="shared" si="1"/>
        <v>63.720000000001164</v>
      </c>
    </row>
    <row r="27" spans="2:12">
      <c r="B27" s="125" t="s">
        <v>1098</v>
      </c>
      <c r="C27" s="126">
        <v>2608.14</v>
      </c>
      <c r="D27" s="127">
        <v>2271.4499999999998</v>
      </c>
      <c r="E27" s="84" t="s">
        <v>1650</v>
      </c>
      <c r="F27" s="83"/>
      <c r="G27" s="83"/>
      <c r="H27" s="83"/>
      <c r="I27" s="83"/>
      <c r="J27" s="119">
        <f t="shared" si="0"/>
        <v>-0.12909199659527482</v>
      </c>
      <c r="K27" s="154">
        <f t="shared" si="1"/>
        <v>-336.69000000000005</v>
      </c>
    </row>
    <row r="28" spans="2:12">
      <c r="B28" s="109" t="s">
        <v>235</v>
      </c>
      <c r="C28" s="110">
        <v>79388</v>
      </c>
      <c r="D28" s="111">
        <v>72640</v>
      </c>
      <c r="E28" s="112" t="s">
        <v>1650</v>
      </c>
      <c r="J28" s="118">
        <f t="shared" si="0"/>
        <v>-8.5000251927243406E-2</v>
      </c>
      <c r="K28" s="154">
        <f t="shared" si="1"/>
        <v>-6748</v>
      </c>
    </row>
    <row r="29" spans="2:12">
      <c r="B29" s="10" t="s">
        <v>1587</v>
      </c>
      <c r="C29" s="11">
        <v>47467.8</v>
      </c>
      <c r="D29" s="13">
        <v>66595.5</v>
      </c>
      <c r="E29" s="12" t="s">
        <v>1650</v>
      </c>
      <c r="J29" s="120">
        <f t="shared" si="0"/>
        <v>0.4029615865913313</v>
      </c>
      <c r="K29" s="153">
        <f t="shared" si="1"/>
        <v>19127.699999999997</v>
      </c>
    </row>
    <row r="30" spans="2:12">
      <c r="B30" s="10" t="s">
        <v>1589</v>
      </c>
      <c r="C30" s="11">
        <v>21887.5</v>
      </c>
      <c r="D30" s="13">
        <v>20476.25</v>
      </c>
      <c r="E30" s="12" t="s">
        <v>1650</v>
      </c>
      <c r="J30" s="118">
        <f t="shared" si="0"/>
        <v>-6.4477441462021695E-2</v>
      </c>
      <c r="K30" s="154">
        <f t="shared" si="1"/>
        <v>-1411.25</v>
      </c>
      <c r="L30" t="s">
        <v>74</v>
      </c>
    </row>
    <row r="31" spans="2:12">
      <c r="B31" s="10" t="s">
        <v>610</v>
      </c>
      <c r="C31" s="11">
        <v>9461.9</v>
      </c>
      <c r="D31" s="13">
        <v>6143.9</v>
      </c>
      <c r="E31" s="12" t="s">
        <v>1650</v>
      </c>
      <c r="J31" s="118">
        <f t="shared" si="0"/>
        <v>-0.35066952726196643</v>
      </c>
      <c r="K31" s="154">
        <f t="shared" si="1"/>
        <v>-3318</v>
      </c>
    </row>
    <row r="32" spans="2:12">
      <c r="B32" s="10" t="s">
        <v>236</v>
      </c>
      <c r="C32" s="11">
        <v>30326.400000000001</v>
      </c>
      <c r="D32" s="13">
        <v>21720</v>
      </c>
      <c r="E32" s="12" t="s">
        <v>1650</v>
      </c>
      <c r="J32" s="118">
        <f t="shared" si="0"/>
        <v>-0.28379233934789494</v>
      </c>
      <c r="K32" s="154">
        <f t="shared" si="1"/>
        <v>-8606.4000000000015</v>
      </c>
    </row>
    <row r="33" spans="2:11">
      <c r="B33" s="10" t="s">
        <v>1593</v>
      </c>
      <c r="C33" s="11">
        <v>65860.5</v>
      </c>
      <c r="D33" s="13">
        <v>60750</v>
      </c>
      <c r="E33" s="12" t="s">
        <v>1650</v>
      </c>
      <c r="J33" s="118">
        <f t="shared" si="0"/>
        <v>-7.7595827544582871E-2</v>
      </c>
      <c r="K33" s="154">
        <f t="shared" si="1"/>
        <v>-5110.5</v>
      </c>
    </row>
    <row r="34" spans="2:11">
      <c r="B34" s="10" t="s">
        <v>1594</v>
      </c>
      <c r="C34" s="11">
        <v>1619.73</v>
      </c>
      <c r="D34" s="13">
        <v>1821.6</v>
      </c>
      <c r="E34" s="12" t="s">
        <v>1650</v>
      </c>
      <c r="J34" s="120">
        <f t="shared" si="0"/>
        <v>0.12463188309162632</v>
      </c>
      <c r="K34" s="153">
        <f t="shared" si="1"/>
        <v>201.86999999999989</v>
      </c>
    </row>
    <row r="35" spans="2:11">
      <c r="B35" s="10" t="s">
        <v>1595</v>
      </c>
      <c r="C35" s="11">
        <v>107880</v>
      </c>
      <c r="D35" s="13">
        <v>169900</v>
      </c>
      <c r="E35" s="12" t="s">
        <v>1650</v>
      </c>
      <c r="J35" s="120">
        <f t="shared" si="0"/>
        <v>0.57489803485354096</v>
      </c>
      <c r="K35" s="153">
        <f t="shared" si="1"/>
        <v>62020</v>
      </c>
    </row>
    <row r="36" spans="2:11">
      <c r="B36" s="10" t="s">
        <v>626</v>
      </c>
      <c r="C36" s="11">
        <v>36509.199999999997</v>
      </c>
      <c r="D36" s="13">
        <v>36185</v>
      </c>
      <c r="E36" s="12" t="s">
        <v>1650</v>
      </c>
      <c r="J36" s="120">
        <f t="shared" si="0"/>
        <v>-8.8799535459554609E-3</v>
      </c>
      <c r="K36" s="154">
        <f t="shared" si="1"/>
        <v>-324.19999999999709</v>
      </c>
    </row>
    <row r="37" spans="2:11">
      <c r="B37" s="10" t="s">
        <v>612</v>
      </c>
      <c r="C37" s="11">
        <v>7512.4</v>
      </c>
      <c r="D37" s="13">
        <v>7038</v>
      </c>
      <c r="E37" s="12" t="s">
        <v>1650</v>
      </c>
      <c r="J37" s="118">
        <f t="shared" si="0"/>
        <v>-6.3148927107182742E-2</v>
      </c>
      <c r="K37" s="154">
        <f t="shared" si="1"/>
        <v>-474.39999999999964</v>
      </c>
    </row>
    <row r="38" spans="2:11">
      <c r="B38" s="10" t="s">
        <v>1597</v>
      </c>
      <c r="C38" s="11">
        <v>196.7</v>
      </c>
      <c r="D38" s="13">
        <v>193.54</v>
      </c>
      <c r="E38" s="12" t="s">
        <v>1650</v>
      </c>
      <c r="J38" s="120">
        <f t="shared" si="0"/>
        <v>-1.6065073716319253E-2</v>
      </c>
      <c r="K38" s="154">
        <f t="shared" si="1"/>
        <v>-3.1599999999999966</v>
      </c>
    </row>
    <row r="39" spans="2:11">
      <c r="B39" s="10" t="s">
        <v>1598</v>
      </c>
      <c r="C39" s="11">
        <v>1179.07</v>
      </c>
      <c r="D39" s="13">
        <v>1223.3499999999999</v>
      </c>
      <c r="E39" s="12" t="s">
        <v>1650</v>
      </c>
      <c r="J39" s="120">
        <f t="shared" si="0"/>
        <v>3.7555022178496593E-2</v>
      </c>
      <c r="K39" s="153">
        <f t="shared" si="1"/>
        <v>44.279999999999973</v>
      </c>
    </row>
    <row r="40" spans="2:11">
      <c r="B40" s="10" t="s">
        <v>1657</v>
      </c>
      <c r="C40" s="11">
        <v>1983.03</v>
      </c>
      <c r="D40" s="13">
        <v>2019.13</v>
      </c>
      <c r="E40" s="12" t="s">
        <v>1650</v>
      </c>
      <c r="J40" s="120">
        <f t="shared" si="0"/>
        <v>1.8204464884545437E-2</v>
      </c>
      <c r="K40" s="153">
        <f t="shared" si="1"/>
        <v>36.100000000000136</v>
      </c>
    </row>
    <row r="41" spans="2:11">
      <c r="B41" s="10" t="s">
        <v>1599</v>
      </c>
      <c r="C41" s="11">
        <v>7562</v>
      </c>
      <c r="D41" s="13">
        <v>7282</v>
      </c>
      <c r="E41" s="12" t="s">
        <v>1650</v>
      </c>
      <c r="J41" s="120">
        <f t="shared" si="0"/>
        <v>-3.7027241470510446E-2</v>
      </c>
      <c r="K41" s="154">
        <f t="shared" si="1"/>
        <v>-280</v>
      </c>
    </row>
    <row r="42" spans="2:11">
      <c r="B42" s="10" t="s">
        <v>1600</v>
      </c>
      <c r="C42" s="11">
        <v>11741.4</v>
      </c>
      <c r="D42" s="13">
        <v>11000</v>
      </c>
      <c r="E42" s="12" t="s">
        <v>1650</v>
      </c>
      <c r="J42" s="118">
        <f t="shared" si="0"/>
        <v>-6.3144088439198026E-2</v>
      </c>
      <c r="K42" s="154">
        <f t="shared" si="1"/>
        <v>-741.39999999999964</v>
      </c>
    </row>
    <row r="43" spans="2:11">
      <c r="B43" s="10" t="s">
        <v>564</v>
      </c>
      <c r="C43" s="11">
        <v>412967.76</v>
      </c>
      <c r="D43" s="13">
        <v>319728.8</v>
      </c>
      <c r="E43" s="12" t="s">
        <v>1650</v>
      </c>
      <c r="J43" s="118">
        <f t="shared" si="0"/>
        <v>-0.22577781858806609</v>
      </c>
      <c r="K43" s="154">
        <f t="shared" si="1"/>
        <v>-93238.960000000021</v>
      </c>
    </row>
    <row r="44" spans="2:11">
      <c r="B44" s="10" t="s">
        <v>1603</v>
      </c>
      <c r="C44" s="11">
        <v>103830</v>
      </c>
      <c r="D44" s="13">
        <v>94320</v>
      </c>
      <c r="E44" s="12" t="s">
        <v>1650</v>
      </c>
      <c r="J44" s="118">
        <f t="shared" si="0"/>
        <v>-9.1592025426177406E-2</v>
      </c>
      <c r="K44" s="154">
        <f t="shared" si="1"/>
        <v>-9510</v>
      </c>
    </row>
    <row r="45" spans="2:11">
      <c r="B45" s="10" t="s">
        <v>592</v>
      </c>
      <c r="C45" s="11">
        <v>1445.91</v>
      </c>
      <c r="D45" s="13">
        <v>1328.55</v>
      </c>
      <c r="E45" s="12" t="s">
        <v>1650</v>
      </c>
      <c r="J45" s="118">
        <f t="shared" si="0"/>
        <v>-8.116687760649012E-2</v>
      </c>
      <c r="K45" s="154">
        <f t="shared" si="1"/>
        <v>-117.36000000000013</v>
      </c>
    </row>
    <row r="46" spans="2:11">
      <c r="B46" s="10" t="s">
        <v>1604</v>
      </c>
      <c r="C46" s="11">
        <v>1396.94</v>
      </c>
      <c r="D46" s="13">
        <v>1402.5</v>
      </c>
      <c r="E46" s="12" t="s">
        <v>1650</v>
      </c>
      <c r="J46" s="120">
        <f t="shared" si="0"/>
        <v>3.9801279940440857E-3</v>
      </c>
      <c r="K46" s="153">
        <f t="shared" si="1"/>
        <v>5.5599999999999454</v>
      </c>
    </row>
    <row r="47" spans="2:11">
      <c r="B47" s="10" t="s">
        <v>1605</v>
      </c>
      <c r="C47" s="11">
        <v>22553.7</v>
      </c>
      <c r="D47" s="13">
        <v>22707.1</v>
      </c>
      <c r="E47" s="12" t="s">
        <v>1650</v>
      </c>
      <c r="J47" s="120">
        <f t="shared" si="0"/>
        <v>6.8015447576228209E-3</v>
      </c>
      <c r="K47" s="153">
        <f t="shared" si="1"/>
        <v>153.39999999999782</v>
      </c>
    </row>
    <row r="48" spans="2:11">
      <c r="B48" s="10" t="s">
        <v>600</v>
      </c>
      <c r="C48" s="11">
        <v>247092.95</v>
      </c>
      <c r="D48" s="13">
        <v>145936.5</v>
      </c>
      <c r="E48" s="12" t="s">
        <v>1650</v>
      </c>
      <c r="J48" s="118">
        <f t="shared" si="0"/>
        <v>-0.40938622490038673</v>
      </c>
      <c r="K48" s="154">
        <f t="shared" si="1"/>
        <v>-101156.45000000001</v>
      </c>
    </row>
    <row r="49" spans="1:11">
      <c r="B49" s="10" t="s">
        <v>613</v>
      </c>
      <c r="C49" s="11">
        <v>13648.5</v>
      </c>
      <c r="D49" s="13">
        <v>12040</v>
      </c>
      <c r="E49" s="12" t="s">
        <v>1650</v>
      </c>
      <c r="J49" s="118">
        <f t="shared" si="0"/>
        <v>-0.11785177858372715</v>
      </c>
      <c r="K49" s="154">
        <f t="shared" si="1"/>
        <v>-1608.5</v>
      </c>
    </row>
    <row r="50" spans="1:11">
      <c r="B50" s="105" t="s">
        <v>1658</v>
      </c>
      <c r="C50" s="106">
        <v>66665.53</v>
      </c>
      <c r="D50" s="107">
        <v>70413.63</v>
      </c>
      <c r="E50" s="108" t="s">
        <v>1650</v>
      </c>
      <c r="J50" s="120">
        <f t="shared" si="0"/>
        <v>5.6222458592919099E-2</v>
      </c>
      <c r="K50" s="153">
        <f t="shared" si="1"/>
        <v>3748.1000000000058</v>
      </c>
    </row>
    <row r="51" spans="1:11">
      <c r="B51" s="344" t="s">
        <v>194</v>
      </c>
      <c r="C51" s="345">
        <v>209740</v>
      </c>
      <c r="D51" s="346">
        <v>167500</v>
      </c>
      <c r="E51" s="89" t="s">
        <v>1650</v>
      </c>
      <c r="F51" s="83"/>
      <c r="G51" s="83"/>
      <c r="H51" s="83"/>
      <c r="I51" s="83"/>
      <c r="J51" s="119">
        <f t="shared" si="0"/>
        <v>-0.20139219986650139</v>
      </c>
      <c r="K51" s="154">
        <f t="shared" si="1"/>
        <v>-42240</v>
      </c>
    </row>
    <row r="52" spans="1:11">
      <c r="A52" s="84"/>
      <c r="B52" s="347" t="s">
        <v>1659</v>
      </c>
      <c r="C52" s="103">
        <v>87142.55</v>
      </c>
      <c r="D52" s="104">
        <v>99339.5</v>
      </c>
      <c r="E52" s="342" t="s">
        <v>1650</v>
      </c>
      <c r="J52" s="120">
        <f t="shared" si="0"/>
        <v>0.139965493321001</v>
      </c>
      <c r="K52" s="153">
        <f t="shared" si="1"/>
        <v>12196.949999999997</v>
      </c>
    </row>
    <row r="53" spans="1:11">
      <c r="B53" s="109" t="s">
        <v>1660</v>
      </c>
      <c r="C53" s="110">
        <v>7320.4</v>
      </c>
      <c r="D53" s="111">
        <v>7015</v>
      </c>
      <c r="E53" s="12" t="s">
        <v>1650</v>
      </c>
      <c r="J53" s="120">
        <f t="shared" si="0"/>
        <v>-4.1719031746899032E-2</v>
      </c>
      <c r="K53" s="154">
        <f t="shared" si="1"/>
        <v>-305.39999999999964</v>
      </c>
    </row>
    <row r="54" spans="1:11">
      <c r="B54" s="105" t="s">
        <v>1609</v>
      </c>
      <c r="C54" s="106">
        <v>633.96</v>
      </c>
      <c r="D54" s="107">
        <v>625</v>
      </c>
      <c r="E54" s="108" t="s">
        <v>1650</v>
      </c>
      <c r="J54" s="120">
        <f t="shared" si="0"/>
        <v>-1.4133383809704138E-2</v>
      </c>
      <c r="K54" s="154">
        <f t="shared" si="1"/>
        <v>-8.9600000000000364</v>
      </c>
    </row>
    <row r="55" spans="1:11">
      <c r="B55" s="102" t="s">
        <v>595</v>
      </c>
      <c r="C55" s="103">
        <v>213855</v>
      </c>
      <c r="D55" s="104">
        <v>200064.4</v>
      </c>
      <c r="E55" s="89" t="s">
        <v>1650</v>
      </c>
      <c r="F55" s="83"/>
      <c r="G55" s="83"/>
      <c r="H55" s="83"/>
      <c r="I55" s="83"/>
      <c r="J55" s="118">
        <f t="shared" si="0"/>
        <v>-6.4485749690210689E-2</v>
      </c>
      <c r="K55" s="154">
        <f t="shared" si="1"/>
        <v>-13790.600000000006</v>
      </c>
    </row>
    <row r="56" spans="1:11">
      <c r="B56" s="109" t="s">
        <v>203</v>
      </c>
      <c r="C56" s="110">
        <v>18937.32</v>
      </c>
      <c r="D56" s="111">
        <v>17934.150000000001</v>
      </c>
      <c r="E56" s="112" t="s">
        <v>1650</v>
      </c>
      <c r="J56" s="118">
        <f t="shared" si="0"/>
        <v>-5.2973176774749449E-2</v>
      </c>
      <c r="K56" s="154">
        <f t="shared" si="1"/>
        <v>-1003.1699999999983</v>
      </c>
    </row>
    <row r="57" spans="1:11">
      <c r="B57" s="10" t="s">
        <v>588</v>
      </c>
      <c r="C57" s="11">
        <v>271.7</v>
      </c>
      <c r="D57" s="13">
        <v>250.8</v>
      </c>
      <c r="E57" s="12" t="s">
        <v>1650</v>
      </c>
      <c r="J57" s="118">
        <f t="shared" si="0"/>
        <v>-7.6923076923076844E-2</v>
      </c>
      <c r="K57" s="154">
        <f t="shared" si="1"/>
        <v>-20.899999999999977</v>
      </c>
    </row>
    <row r="58" spans="1:11">
      <c r="B58" s="10" t="s">
        <v>1614</v>
      </c>
      <c r="C58" s="11">
        <v>8420.7999999999993</v>
      </c>
      <c r="D58" s="13">
        <v>9450</v>
      </c>
      <c r="E58" s="12" t="s">
        <v>1650</v>
      </c>
      <c r="J58" s="120">
        <f t="shared" si="0"/>
        <v>0.12222116663499914</v>
      </c>
      <c r="K58" s="153">
        <f t="shared" si="1"/>
        <v>1029.2000000000007</v>
      </c>
    </row>
    <row r="59" spans="1:11">
      <c r="B59" s="10" t="s">
        <v>1615</v>
      </c>
      <c r="C59" s="11">
        <v>256910</v>
      </c>
      <c r="D59" s="13">
        <v>311450</v>
      </c>
      <c r="E59" s="12" t="s">
        <v>1650</v>
      </c>
      <c r="J59" s="120">
        <f t="shared" si="0"/>
        <v>0.21229224241952435</v>
      </c>
      <c r="K59" s="153">
        <f t="shared" si="1"/>
        <v>54540</v>
      </c>
    </row>
    <row r="60" spans="1:11">
      <c r="B60" s="105" t="s">
        <v>1616</v>
      </c>
      <c r="C60" s="106">
        <v>7339.98</v>
      </c>
      <c r="D60" s="107">
        <v>7003.8</v>
      </c>
      <c r="E60" s="108" t="s">
        <v>1650</v>
      </c>
      <c r="J60" s="120">
        <f t="shared" si="0"/>
        <v>-4.5801214717206232E-2</v>
      </c>
      <c r="K60" s="154">
        <f t="shared" si="1"/>
        <v>-336.17999999999938</v>
      </c>
    </row>
    <row r="61" spans="1:11">
      <c r="B61" s="102" t="s">
        <v>207</v>
      </c>
      <c r="C61" s="103">
        <v>171496.72</v>
      </c>
      <c r="D61" s="104">
        <v>149129.60000000001</v>
      </c>
      <c r="E61" s="89" t="s">
        <v>1650</v>
      </c>
      <c r="F61" s="83"/>
      <c r="G61" s="83"/>
      <c r="H61" s="83"/>
      <c r="I61" s="83"/>
      <c r="J61" s="119">
        <f t="shared" si="0"/>
        <v>-0.13042301916911295</v>
      </c>
      <c r="K61" s="154">
        <f t="shared" si="1"/>
        <v>-22367.119999999995</v>
      </c>
    </row>
    <row r="62" spans="1:11">
      <c r="B62" s="113" t="s">
        <v>1617</v>
      </c>
      <c r="C62" s="114">
        <v>38265.4</v>
      </c>
      <c r="D62" s="115">
        <v>34902.75</v>
      </c>
      <c r="E62" s="116" t="s">
        <v>1650</v>
      </c>
      <c r="J62" s="118">
        <f t="shared" si="0"/>
        <v>-8.7877037741667441E-2</v>
      </c>
      <c r="K62" s="154">
        <f t="shared" si="1"/>
        <v>-3362.6500000000015</v>
      </c>
    </row>
    <row r="63" spans="1:11">
      <c r="B63" s="102" t="s">
        <v>636</v>
      </c>
      <c r="C63" s="103">
        <v>63942.45</v>
      </c>
      <c r="D63" s="104">
        <v>52006.35</v>
      </c>
      <c r="E63" s="89" t="s">
        <v>1650</v>
      </c>
      <c r="F63" s="83"/>
      <c r="G63" s="83"/>
      <c r="H63" s="83"/>
      <c r="I63" s="83"/>
      <c r="J63" s="119">
        <f t="shared" si="0"/>
        <v>-0.18666941914174384</v>
      </c>
      <c r="K63" s="154">
        <f t="shared" si="1"/>
        <v>-11936.099999999999</v>
      </c>
    </row>
    <row r="64" spans="1:11">
      <c r="B64" s="109" t="s">
        <v>1619</v>
      </c>
      <c r="C64" s="110">
        <v>27021</v>
      </c>
      <c r="D64" s="111">
        <v>33126</v>
      </c>
      <c r="E64" s="112" t="s">
        <v>1650</v>
      </c>
      <c r="J64" s="120">
        <f t="shared" si="0"/>
        <v>0.22593538359054069</v>
      </c>
      <c r="K64" s="153">
        <f t="shared" si="1"/>
        <v>6105</v>
      </c>
    </row>
    <row r="65" spans="2:12">
      <c r="B65" s="10" t="s">
        <v>1459</v>
      </c>
      <c r="C65" s="11">
        <v>19406</v>
      </c>
      <c r="D65" s="13">
        <v>18480</v>
      </c>
      <c r="E65" s="12" t="s">
        <v>1650</v>
      </c>
      <c r="J65" s="120">
        <f t="shared" si="0"/>
        <v>-4.7717200865711636E-2</v>
      </c>
      <c r="K65" s="154">
        <f t="shared" si="1"/>
        <v>-926</v>
      </c>
    </row>
    <row r="66" spans="2:12">
      <c r="B66" s="10" t="s">
        <v>594</v>
      </c>
      <c r="C66" s="11">
        <v>2388.44</v>
      </c>
      <c r="D66" s="13">
        <v>1848.45</v>
      </c>
      <c r="E66" s="12" t="s">
        <v>1650</v>
      </c>
      <c r="J66" s="118">
        <f t="shared" si="0"/>
        <v>-0.22608480849424728</v>
      </c>
      <c r="K66" s="154">
        <f t="shared" si="1"/>
        <v>-539.99</v>
      </c>
    </row>
    <row r="67" spans="2:12">
      <c r="B67" s="10" t="s">
        <v>222</v>
      </c>
      <c r="C67" s="11">
        <v>74921.399999999994</v>
      </c>
      <c r="D67" s="13">
        <v>73467</v>
      </c>
      <c r="E67" s="12" t="s">
        <v>1650</v>
      </c>
      <c r="J67" s="120">
        <f t="shared" ref="J67:J123" si="2">(D67-C67)/C67</f>
        <v>-1.941234413665514E-2</v>
      </c>
      <c r="K67" s="154">
        <f t="shared" ref="K67:K123" si="3">D67-C67</f>
        <v>-1454.3999999999942</v>
      </c>
    </row>
    <row r="68" spans="2:12">
      <c r="B68" s="121" t="s">
        <v>330</v>
      </c>
      <c r="C68" s="122">
        <v>591.99</v>
      </c>
      <c r="D68" s="123">
        <v>655.4</v>
      </c>
      <c r="E68" s="124" t="s">
        <v>1650</v>
      </c>
      <c r="F68" s="4">
        <f>SUM(C15:C68)</f>
        <v>3249371.7199999993</v>
      </c>
      <c r="G68" s="4">
        <f>SUM(D15:D68)</f>
        <v>3085240.85</v>
      </c>
      <c r="H68" s="15">
        <f>G68-F68</f>
        <v>-164130.86999999918</v>
      </c>
      <c r="I68" s="21">
        <f>H68/F68</f>
        <v>-5.0511570895311178E-2</v>
      </c>
      <c r="J68" s="128">
        <f t="shared" si="2"/>
        <v>0.10711329583269982</v>
      </c>
      <c r="K68" s="153">
        <f t="shared" si="3"/>
        <v>63.409999999999968</v>
      </c>
    </row>
    <row r="69" spans="2:12">
      <c r="B69" s="16" t="s">
        <v>1073</v>
      </c>
      <c r="C69" s="17">
        <v>23903.55</v>
      </c>
      <c r="D69" s="17">
        <v>23134.5</v>
      </c>
      <c r="E69" s="16" t="s">
        <v>507</v>
      </c>
      <c r="J69" s="120">
        <f t="shared" si="2"/>
        <v>-3.2173045426306938E-2</v>
      </c>
      <c r="K69" s="154">
        <f t="shared" si="3"/>
        <v>-769.04999999999927</v>
      </c>
    </row>
    <row r="70" spans="2:12">
      <c r="B70" s="16" t="s">
        <v>1449</v>
      </c>
      <c r="C70" s="17">
        <v>17266.5</v>
      </c>
      <c r="D70" s="17">
        <v>17860.5</v>
      </c>
      <c r="E70" s="16" t="s">
        <v>507</v>
      </c>
      <c r="J70" s="120">
        <f t="shared" si="2"/>
        <v>3.4401876465989051E-2</v>
      </c>
      <c r="K70" s="153">
        <f t="shared" si="3"/>
        <v>594</v>
      </c>
    </row>
    <row r="71" spans="2:12">
      <c r="B71" s="16" t="s">
        <v>83</v>
      </c>
      <c r="C71" s="17">
        <v>84592</v>
      </c>
      <c r="D71" s="17">
        <v>86640</v>
      </c>
      <c r="E71" s="16" t="s">
        <v>507</v>
      </c>
      <c r="J71" s="120">
        <f t="shared" si="2"/>
        <v>2.4210327217703803E-2</v>
      </c>
      <c r="K71" s="153">
        <f t="shared" si="3"/>
        <v>2048</v>
      </c>
    </row>
    <row r="72" spans="2:12">
      <c r="B72" s="16" t="s">
        <v>1661</v>
      </c>
      <c r="C72" s="17">
        <v>63500</v>
      </c>
      <c r="D72" s="17">
        <v>63337</v>
      </c>
      <c r="E72" s="16" t="s">
        <v>507</v>
      </c>
      <c r="J72" s="120">
        <f t="shared" si="2"/>
        <v>-2.5669291338582677E-3</v>
      </c>
      <c r="K72" s="154">
        <f t="shared" si="3"/>
        <v>-163</v>
      </c>
    </row>
    <row r="73" spans="2:12">
      <c r="B73" s="16" t="s">
        <v>1571</v>
      </c>
      <c r="C73" s="17">
        <v>107100</v>
      </c>
      <c r="D73" s="17">
        <v>106176</v>
      </c>
      <c r="E73" s="16" t="s">
        <v>507</v>
      </c>
      <c r="J73" s="120">
        <f t="shared" si="2"/>
        <v>-8.6274509803921564E-3</v>
      </c>
      <c r="K73" s="154">
        <f t="shared" si="3"/>
        <v>-924</v>
      </c>
    </row>
    <row r="74" spans="2:12">
      <c r="B74" s="16" t="s">
        <v>57</v>
      </c>
      <c r="C74" s="17">
        <v>62775</v>
      </c>
      <c r="D74" s="17">
        <v>60808.75</v>
      </c>
      <c r="E74" s="16" t="s">
        <v>507</v>
      </c>
      <c r="J74" s="120">
        <f t="shared" si="2"/>
        <v>-3.1322182397451215E-2</v>
      </c>
      <c r="K74" s="154">
        <f t="shared" si="3"/>
        <v>-1966.25</v>
      </c>
    </row>
    <row r="75" spans="2:12">
      <c r="B75" s="16" t="s">
        <v>1451</v>
      </c>
      <c r="C75" s="17">
        <v>78300</v>
      </c>
      <c r="D75" s="17">
        <v>77300</v>
      </c>
      <c r="E75" s="16" t="s">
        <v>507</v>
      </c>
      <c r="J75" s="120">
        <f t="shared" si="2"/>
        <v>-1.277139208173691E-2</v>
      </c>
      <c r="K75" s="154">
        <f t="shared" si="3"/>
        <v>-1000</v>
      </c>
    </row>
    <row r="76" spans="2:12">
      <c r="B76" s="16" t="s">
        <v>622</v>
      </c>
      <c r="C76" s="17">
        <v>6482</v>
      </c>
      <c r="D76" s="17">
        <v>6167</v>
      </c>
      <c r="E76" s="16" t="s">
        <v>507</v>
      </c>
      <c r="J76" s="120">
        <f t="shared" si="2"/>
        <v>-4.859611231101512E-2</v>
      </c>
      <c r="K76" s="154">
        <f t="shared" si="3"/>
        <v>-315</v>
      </c>
    </row>
    <row r="77" spans="2:12">
      <c r="B77" s="131" t="s">
        <v>1656</v>
      </c>
      <c r="C77" s="132">
        <v>55012.5</v>
      </c>
      <c r="D77" s="132">
        <v>54382.5</v>
      </c>
      <c r="E77" s="131" t="s">
        <v>507</v>
      </c>
      <c r="J77" s="120">
        <f t="shared" si="2"/>
        <v>-1.1451942740286299E-2</v>
      </c>
      <c r="K77" s="154">
        <f t="shared" si="3"/>
        <v>-630</v>
      </c>
    </row>
    <row r="78" spans="2:12">
      <c r="B78" s="129" t="s">
        <v>1098</v>
      </c>
      <c r="C78" s="130">
        <v>35879.360000000001</v>
      </c>
      <c r="D78" s="130">
        <v>33314.6</v>
      </c>
      <c r="E78" s="129" t="s">
        <v>507</v>
      </c>
      <c r="F78" s="83"/>
      <c r="G78" s="83"/>
      <c r="H78" s="83"/>
      <c r="I78" s="83"/>
      <c r="J78" s="119">
        <f t="shared" si="2"/>
        <v>-7.1482880408123284E-2</v>
      </c>
      <c r="K78" s="154">
        <f t="shared" si="3"/>
        <v>-2564.760000000002</v>
      </c>
    </row>
    <row r="79" spans="2:12">
      <c r="B79" s="135" t="s">
        <v>1587</v>
      </c>
      <c r="C79" s="136">
        <v>271862.40000000002</v>
      </c>
      <c r="D79" s="136">
        <v>354824</v>
      </c>
      <c r="E79" s="135" t="s">
        <v>507</v>
      </c>
      <c r="J79" s="120">
        <f t="shared" si="2"/>
        <v>0.30516025754205056</v>
      </c>
      <c r="K79" s="153">
        <f t="shared" si="3"/>
        <v>82961.599999999977</v>
      </c>
    </row>
    <row r="80" spans="2:12">
      <c r="B80" s="129" t="s">
        <v>1589</v>
      </c>
      <c r="C80" s="130">
        <v>164613.6</v>
      </c>
      <c r="D80" s="130">
        <v>148140</v>
      </c>
      <c r="E80" s="129" t="s">
        <v>507</v>
      </c>
      <c r="F80" s="83"/>
      <c r="G80" s="83"/>
      <c r="H80" s="83"/>
      <c r="I80" s="83"/>
      <c r="J80" s="119">
        <f t="shared" si="2"/>
        <v>-0.1000743559462888</v>
      </c>
      <c r="K80" s="154">
        <f t="shared" si="3"/>
        <v>-16473.600000000006</v>
      </c>
      <c r="L80" t="s">
        <v>74</v>
      </c>
    </row>
    <row r="81" spans="1:11">
      <c r="B81" s="133" t="s">
        <v>612</v>
      </c>
      <c r="C81" s="134">
        <v>9309.5</v>
      </c>
      <c r="D81" s="134">
        <v>8797.5</v>
      </c>
      <c r="E81" s="133" t="s">
        <v>507</v>
      </c>
      <c r="J81" s="118">
        <f t="shared" si="2"/>
        <v>-5.4997583114023307E-2</v>
      </c>
      <c r="K81" s="154">
        <f t="shared" si="3"/>
        <v>-512</v>
      </c>
    </row>
    <row r="82" spans="1:11">
      <c r="B82" s="16" t="s">
        <v>1454</v>
      </c>
      <c r="C82" s="17">
        <v>92750</v>
      </c>
      <c r="D82" s="17">
        <v>92062.5</v>
      </c>
      <c r="E82" s="16" t="s">
        <v>507</v>
      </c>
      <c r="J82" s="120">
        <f t="shared" si="2"/>
        <v>-7.4123989218328841E-3</v>
      </c>
      <c r="K82" s="154">
        <f t="shared" si="3"/>
        <v>-687.5</v>
      </c>
    </row>
    <row r="83" spans="1:11">
      <c r="B83" s="16" t="s">
        <v>541</v>
      </c>
      <c r="C83" s="17">
        <v>24590</v>
      </c>
      <c r="D83" s="17">
        <v>23815</v>
      </c>
      <c r="E83" s="16" t="s">
        <v>507</v>
      </c>
      <c r="J83" s="120">
        <f t="shared" si="2"/>
        <v>-3.1516876779178526E-2</v>
      </c>
      <c r="K83" s="154">
        <f t="shared" si="3"/>
        <v>-775</v>
      </c>
    </row>
    <row r="84" spans="1:11">
      <c r="B84" s="16" t="s">
        <v>1599</v>
      </c>
      <c r="C84" s="17">
        <v>36746.400000000001</v>
      </c>
      <c r="D84" s="17">
        <v>36570.699999999997</v>
      </c>
      <c r="E84" s="16" t="s">
        <v>507</v>
      </c>
      <c r="J84" s="120">
        <f t="shared" si="2"/>
        <v>-4.7814207650274413E-3</v>
      </c>
      <c r="K84" s="154">
        <f t="shared" si="3"/>
        <v>-175.70000000000437</v>
      </c>
    </row>
    <row r="85" spans="1:11">
      <c r="B85" s="16" t="s">
        <v>1600</v>
      </c>
      <c r="C85" s="17">
        <v>5881</v>
      </c>
      <c r="D85" s="17">
        <v>5500</v>
      </c>
      <c r="E85" s="16" t="s">
        <v>507</v>
      </c>
      <c r="J85" s="118">
        <f t="shared" si="2"/>
        <v>-6.4784900527121242E-2</v>
      </c>
      <c r="K85" s="154">
        <f t="shared" si="3"/>
        <v>-381</v>
      </c>
    </row>
    <row r="86" spans="1:11">
      <c r="B86" s="16" t="s">
        <v>1601</v>
      </c>
      <c r="C86" s="17">
        <v>13526.1</v>
      </c>
      <c r="D86" s="17">
        <v>12513.6</v>
      </c>
      <c r="E86" s="16" t="s">
        <v>507</v>
      </c>
      <c r="J86" s="118">
        <f t="shared" si="2"/>
        <v>-7.485527979240135E-2</v>
      </c>
      <c r="K86" s="154">
        <f t="shared" si="3"/>
        <v>-1012.5</v>
      </c>
    </row>
    <row r="87" spans="1:11">
      <c r="B87" s="16" t="s">
        <v>629</v>
      </c>
      <c r="C87" s="17">
        <v>61428</v>
      </c>
      <c r="D87" s="17">
        <v>61717.5</v>
      </c>
      <c r="E87" s="16" t="s">
        <v>507</v>
      </c>
      <c r="J87" s="120">
        <f t="shared" si="2"/>
        <v>4.7128345379957026E-3</v>
      </c>
      <c r="K87" s="153">
        <f t="shared" si="3"/>
        <v>289.5</v>
      </c>
    </row>
    <row r="88" spans="1:11">
      <c r="B88" s="16" t="s">
        <v>1602</v>
      </c>
      <c r="C88" s="17">
        <v>55586.25</v>
      </c>
      <c r="D88" s="17">
        <v>51667.5</v>
      </c>
      <c r="E88" s="16" t="s">
        <v>507</v>
      </c>
      <c r="J88" s="118">
        <f t="shared" si="2"/>
        <v>-7.0498549551372872E-2</v>
      </c>
      <c r="K88" s="154">
        <f t="shared" si="3"/>
        <v>-3918.75</v>
      </c>
    </row>
    <row r="89" spans="1:11">
      <c r="B89" s="16" t="s">
        <v>592</v>
      </c>
      <c r="C89" s="17">
        <v>27680</v>
      </c>
      <c r="D89" s="17">
        <v>26571</v>
      </c>
      <c r="E89" s="16" t="s">
        <v>507</v>
      </c>
      <c r="J89" s="120">
        <f t="shared" si="2"/>
        <v>-4.0065028901734107E-2</v>
      </c>
      <c r="K89" s="154">
        <f t="shared" si="3"/>
        <v>-1109</v>
      </c>
    </row>
    <row r="90" spans="1:11">
      <c r="B90" s="16" t="s">
        <v>1605</v>
      </c>
      <c r="C90" s="17">
        <v>17239.650000000001</v>
      </c>
      <c r="D90" s="17">
        <v>16544.25</v>
      </c>
      <c r="E90" s="16" t="s">
        <v>507</v>
      </c>
      <c r="J90" s="120">
        <f t="shared" si="2"/>
        <v>-4.0337245825756401E-2</v>
      </c>
      <c r="K90" s="154">
        <f t="shared" si="3"/>
        <v>-695.40000000000146</v>
      </c>
    </row>
    <row r="91" spans="1:11">
      <c r="B91" s="16" t="s">
        <v>601</v>
      </c>
      <c r="C91" s="17">
        <v>25802.52</v>
      </c>
      <c r="D91" s="17">
        <v>25524.799999999999</v>
      </c>
      <c r="E91" s="16" t="s">
        <v>507</v>
      </c>
      <c r="J91" s="120">
        <f t="shared" si="2"/>
        <v>-1.0763289787199124E-2</v>
      </c>
      <c r="K91" s="154">
        <f t="shared" si="3"/>
        <v>-277.72000000000116</v>
      </c>
    </row>
    <row r="92" spans="1:11">
      <c r="B92" s="131" t="s">
        <v>1607</v>
      </c>
      <c r="C92" s="132">
        <v>25184</v>
      </c>
      <c r="D92" s="132">
        <v>25000</v>
      </c>
      <c r="E92" s="16" t="s">
        <v>507</v>
      </c>
      <c r="J92" s="120">
        <f t="shared" si="2"/>
        <v>-7.3062261753494284E-3</v>
      </c>
      <c r="K92" s="154">
        <f t="shared" si="3"/>
        <v>-184</v>
      </c>
    </row>
    <row r="93" spans="1:11">
      <c r="A93" s="84"/>
      <c r="B93" s="347" t="s">
        <v>1659</v>
      </c>
      <c r="C93" s="130">
        <v>69394.45</v>
      </c>
      <c r="D93" s="130">
        <v>73703.5</v>
      </c>
      <c r="E93" s="343" t="s">
        <v>507</v>
      </c>
      <c r="J93" s="120">
        <f t="shared" si="2"/>
        <v>6.2095023449281653E-2</v>
      </c>
      <c r="K93" s="153">
        <f t="shared" si="3"/>
        <v>4309.0500000000029</v>
      </c>
    </row>
    <row r="94" spans="1:11">
      <c r="B94" s="133" t="s">
        <v>203</v>
      </c>
      <c r="C94" s="134">
        <v>37284</v>
      </c>
      <c r="D94" s="134">
        <v>35050</v>
      </c>
      <c r="E94" s="16" t="s">
        <v>507</v>
      </c>
      <c r="J94" s="118">
        <f t="shared" si="2"/>
        <v>-5.9918463684154058E-2</v>
      </c>
      <c r="K94" s="154">
        <f t="shared" si="3"/>
        <v>-2234</v>
      </c>
    </row>
    <row r="95" spans="1:11">
      <c r="B95" s="16" t="s">
        <v>634</v>
      </c>
      <c r="C95" s="17">
        <v>75944.7</v>
      </c>
      <c r="D95" s="17">
        <v>76245</v>
      </c>
      <c r="E95" s="16" t="s">
        <v>507</v>
      </c>
      <c r="J95" s="120">
        <f t="shared" si="2"/>
        <v>3.9541929851589766E-3</v>
      </c>
      <c r="K95" s="153">
        <f t="shared" si="3"/>
        <v>300.30000000000291</v>
      </c>
    </row>
    <row r="96" spans="1:11">
      <c r="B96" s="131" t="s">
        <v>1614</v>
      </c>
      <c r="C96" s="132">
        <v>11711.1</v>
      </c>
      <c r="D96" s="132">
        <v>11340</v>
      </c>
      <c r="E96" s="131" t="s">
        <v>507</v>
      </c>
      <c r="J96" s="120">
        <f t="shared" si="2"/>
        <v>-3.1687885851884139E-2</v>
      </c>
      <c r="K96" s="154">
        <f t="shared" si="3"/>
        <v>-371.10000000000036</v>
      </c>
    </row>
    <row r="97" spans="2:11">
      <c r="B97" s="129" t="s">
        <v>636</v>
      </c>
      <c r="C97" s="130">
        <v>101567.73</v>
      </c>
      <c r="D97" s="130">
        <v>89829.15</v>
      </c>
      <c r="E97" s="129" t="s">
        <v>507</v>
      </c>
      <c r="F97" s="83"/>
      <c r="G97" s="83"/>
      <c r="H97" s="83"/>
      <c r="I97" s="83"/>
      <c r="J97" s="119">
        <f t="shared" si="2"/>
        <v>-0.11557391309227845</v>
      </c>
      <c r="K97" s="154">
        <f t="shared" si="3"/>
        <v>-11738.580000000002</v>
      </c>
    </row>
    <row r="98" spans="2:11">
      <c r="B98" s="133" t="s">
        <v>1459</v>
      </c>
      <c r="C98" s="134">
        <v>20181.5</v>
      </c>
      <c r="D98" s="134">
        <v>18480</v>
      </c>
      <c r="E98" s="133" t="s">
        <v>507</v>
      </c>
      <c r="J98" s="118">
        <f t="shared" si="2"/>
        <v>-8.430988776850086E-2</v>
      </c>
      <c r="K98" s="154">
        <f t="shared" si="3"/>
        <v>-1701.5</v>
      </c>
    </row>
    <row r="99" spans="2:11">
      <c r="B99" s="16" t="s">
        <v>222</v>
      </c>
      <c r="C99" s="17">
        <v>65750</v>
      </c>
      <c r="D99" s="17">
        <v>61222.5</v>
      </c>
      <c r="E99" s="16" t="s">
        <v>507</v>
      </c>
      <c r="J99" s="120">
        <f t="shared" si="2"/>
        <v>-6.8859315589353612E-2</v>
      </c>
      <c r="K99" s="154">
        <f t="shared" si="3"/>
        <v>-4527.5</v>
      </c>
    </row>
    <row r="100" spans="2:11">
      <c r="B100" s="16" t="s">
        <v>1461</v>
      </c>
      <c r="C100" s="17">
        <v>147286.07999999999</v>
      </c>
      <c r="D100" s="17">
        <v>148748.4</v>
      </c>
      <c r="E100" s="16" t="s">
        <v>507</v>
      </c>
      <c r="J100" s="120">
        <f t="shared" si="2"/>
        <v>9.9284331553939585E-3</v>
      </c>
      <c r="K100" s="153">
        <f t="shared" si="3"/>
        <v>1462.320000000007</v>
      </c>
    </row>
    <row r="101" spans="2:11">
      <c r="B101" s="16" t="s">
        <v>1623</v>
      </c>
      <c r="C101" s="17">
        <v>56150</v>
      </c>
      <c r="D101" s="17">
        <v>53455</v>
      </c>
      <c r="E101" s="16" t="s">
        <v>507</v>
      </c>
      <c r="F101" s="5">
        <f>SUM(C69:C101)</f>
        <v>1952279.8900000001</v>
      </c>
      <c r="G101" s="5">
        <f>SUM(D69:D101)</f>
        <v>1986442.75</v>
      </c>
      <c r="H101" s="14">
        <f>G101-F101</f>
        <v>34162.85999999987</v>
      </c>
      <c r="I101" s="22">
        <f>H101/F101</f>
        <v>1.7498956053888293E-2</v>
      </c>
      <c r="J101" s="120">
        <f t="shared" si="2"/>
        <v>-4.7996438112199467E-2</v>
      </c>
      <c r="K101" s="154">
        <f t="shared" si="3"/>
        <v>-2695</v>
      </c>
    </row>
    <row r="102" spans="2:11">
      <c r="B102" s="1" t="s">
        <v>1662</v>
      </c>
      <c r="C102" s="2">
        <v>57574.6</v>
      </c>
      <c r="D102" s="2">
        <v>56057.3</v>
      </c>
      <c r="E102" s="1" t="s">
        <v>490</v>
      </c>
      <c r="J102" s="120">
        <f t="shared" si="2"/>
        <v>-2.6353635109926873E-2</v>
      </c>
      <c r="K102" s="154">
        <f t="shared" si="3"/>
        <v>-1517.2999999999956</v>
      </c>
    </row>
    <row r="103" spans="2:11">
      <c r="B103" s="1" t="s">
        <v>1663</v>
      </c>
      <c r="C103" s="2">
        <v>215360</v>
      </c>
      <c r="D103" s="2">
        <v>228800</v>
      </c>
      <c r="E103" s="1" t="s">
        <v>490</v>
      </c>
      <c r="J103" s="120">
        <f t="shared" si="2"/>
        <v>6.2407132243684993E-2</v>
      </c>
      <c r="K103" s="153">
        <f t="shared" si="3"/>
        <v>13440</v>
      </c>
    </row>
    <row r="104" spans="2:11">
      <c r="B104" s="1" t="s">
        <v>1664</v>
      </c>
      <c r="C104" s="2">
        <v>2638.5</v>
      </c>
      <c r="D104" s="2">
        <v>2784.5</v>
      </c>
      <c r="E104" s="1" t="s">
        <v>490</v>
      </c>
      <c r="J104" s="120">
        <f t="shared" si="2"/>
        <v>5.5334470342997918E-2</v>
      </c>
      <c r="K104" s="153">
        <f t="shared" si="3"/>
        <v>146</v>
      </c>
    </row>
    <row r="105" spans="2:11">
      <c r="B105" s="1" t="s">
        <v>1665</v>
      </c>
      <c r="C105" s="2">
        <v>344.04</v>
      </c>
      <c r="D105" s="2">
        <v>334.36</v>
      </c>
      <c r="E105" s="1" t="s">
        <v>490</v>
      </c>
      <c r="J105" s="120">
        <f t="shared" si="2"/>
        <v>-2.813626322520639E-2</v>
      </c>
      <c r="K105" s="154">
        <f t="shared" si="3"/>
        <v>-9.6800000000000068</v>
      </c>
    </row>
    <row r="106" spans="2:11">
      <c r="B106" s="1" t="s">
        <v>1666</v>
      </c>
      <c r="C106" s="2">
        <v>33876.800000000003</v>
      </c>
      <c r="D106" s="2">
        <v>32176.2</v>
      </c>
      <c r="E106" s="1" t="s">
        <v>490</v>
      </c>
      <c r="J106" s="118">
        <f t="shared" si="2"/>
        <v>-5.019954659235825E-2</v>
      </c>
      <c r="K106" s="154">
        <f t="shared" si="3"/>
        <v>-1700.6000000000022</v>
      </c>
    </row>
    <row r="107" spans="2:11">
      <c r="B107" s="1" t="s">
        <v>1667</v>
      </c>
      <c r="C107" s="2">
        <v>66009.399999999994</v>
      </c>
      <c r="D107" s="2">
        <v>69901.899999999994</v>
      </c>
      <c r="E107" s="1" t="s">
        <v>490</v>
      </c>
      <c r="J107" s="120">
        <f t="shared" si="2"/>
        <v>5.896887413004815E-2</v>
      </c>
      <c r="K107" s="153">
        <f t="shared" si="3"/>
        <v>3892.5</v>
      </c>
    </row>
    <row r="108" spans="2:11">
      <c r="B108" s="86" t="s">
        <v>1668</v>
      </c>
      <c r="C108" s="138">
        <v>17487.95</v>
      </c>
      <c r="D108" s="138">
        <v>18083.849999999999</v>
      </c>
      <c r="E108" s="86" t="s">
        <v>490</v>
      </c>
      <c r="J108" s="120">
        <f t="shared" si="2"/>
        <v>3.4074891568193974E-2</v>
      </c>
      <c r="K108" s="153">
        <f t="shared" si="3"/>
        <v>595.89999999999782</v>
      </c>
    </row>
    <row r="109" spans="2:11">
      <c r="B109" s="84" t="s">
        <v>1669</v>
      </c>
      <c r="C109" s="137">
        <v>43000</v>
      </c>
      <c r="D109" s="137">
        <v>38640</v>
      </c>
      <c r="E109" s="84" t="s">
        <v>490</v>
      </c>
      <c r="F109" s="83"/>
      <c r="G109" s="83"/>
      <c r="H109" s="83"/>
      <c r="I109" s="83"/>
      <c r="J109" s="119">
        <f t="shared" si="2"/>
        <v>-0.1013953488372093</v>
      </c>
      <c r="K109" s="154">
        <f t="shared" si="3"/>
        <v>-4360</v>
      </c>
    </row>
    <row r="110" spans="2:11">
      <c r="B110" s="139" t="s">
        <v>1670</v>
      </c>
      <c r="C110" s="140">
        <v>433</v>
      </c>
      <c r="D110" s="140">
        <v>413.85</v>
      </c>
      <c r="E110" s="139" t="s">
        <v>490</v>
      </c>
      <c r="J110" s="120">
        <f t="shared" si="2"/>
        <v>-4.4226327944572694E-2</v>
      </c>
      <c r="K110" s="154">
        <f t="shared" si="3"/>
        <v>-19.149999999999977</v>
      </c>
    </row>
    <row r="111" spans="2:11">
      <c r="B111" s="1" t="s">
        <v>1671</v>
      </c>
      <c r="C111" s="2">
        <v>186050</v>
      </c>
      <c r="D111" s="2">
        <v>176950</v>
      </c>
      <c r="E111" s="1" t="s">
        <v>490</v>
      </c>
      <c r="J111" s="120">
        <f t="shared" si="2"/>
        <v>-4.8911582907820481E-2</v>
      </c>
      <c r="K111" s="154">
        <f t="shared" si="3"/>
        <v>-9100</v>
      </c>
    </row>
    <row r="112" spans="2:11">
      <c r="B112" s="1" t="s">
        <v>1672</v>
      </c>
      <c r="C112" s="2">
        <v>758.8</v>
      </c>
      <c r="D112" s="2">
        <v>713.9</v>
      </c>
      <c r="E112" s="1" t="s">
        <v>490</v>
      </c>
      <c r="J112" s="118">
        <f t="shared" si="2"/>
        <v>-5.9172377438060066E-2</v>
      </c>
      <c r="K112" s="154">
        <f t="shared" si="3"/>
        <v>-44.899999999999977</v>
      </c>
    </row>
    <row r="113" spans="2:11">
      <c r="B113" s="1" t="s">
        <v>1673</v>
      </c>
      <c r="C113" s="2">
        <v>12600</v>
      </c>
      <c r="D113" s="2">
        <v>12397.5</v>
      </c>
      <c r="E113" s="1" t="s">
        <v>490</v>
      </c>
      <c r="J113" s="120">
        <f t="shared" si="2"/>
        <v>-1.607142857142857E-2</v>
      </c>
      <c r="K113" s="154">
        <f t="shared" si="3"/>
        <v>-202.5</v>
      </c>
    </row>
    <row r="114" spans="2:11">
      <c r="B114" s="1" t="s">
        <v>1674</v>
      </c>
      <c r="C114" s="2">
        <v>3689.5</v>
      </c>
      <c r="D114" s="2">
        <v>3510</v>
      </c>
      <c r="E114" s="1" t="s">
        <v>490</v>
      </c>
      <c r="J114" s="120">
        <f t="shared" si="2"/>
        <v>-4.8651578804716086E-2</v>
      </c>
      <c r="K114" s="154">
        <f t="shared" si="3"/>
        <v>-179.5</v>
      </c>
    </row>
    <row r="115" spans="2:11">
      <c r="B115" s="86" t="s">
        <v>1675</v>
      </c>
      <c r="C115" s="2">
        <v>1421</v>
      </c>
      <c r="D115" s="2">
        <v>1393.85</v>
      </c>
      <c r="E115" s="1" t="s">
        <v>490</v>
      </c>
      <c r="J115" s="120">
        <f t="shared" si="2"/>
        <v>-1.910626319493321E-2</v>
      </c>
      <c r="K115" s="154">
        <f t="shared" si="3"/>
        <v>-27.150000000000091</v>
      </c>
    </row>
    <row r="116" spans="2:11">
      <c r="B116" s="84" t="s">
        <v>1676</v>
      </c>
      <c r="C116" s="85">
        <v>27370</v>
      </c>
      <c r="D116" s="2">
        <v>29012</v>
      </c>
      <c r="E116" s="1" t="s">
        <v>490</v>
      </c>
      <c r="J116" s="120">
        <f t="shared" si="2"/>
        <v>5.999269272926562E-2</v>
      </c>
      <c r="K116" s="153">
        <f t="shared" si="3"/>
        <v>1642</v>
      </c>
    </row>
    <row r="117" spans="2:11">
      <c r="B117" s="84" t="s">
        <v>1677</v>
      </c>
      <c r="C117" s="85">
        <v>31895</v>
      </c>
      <c r="D117" s="2">
        <v>32241</v>
      </c>
      <c r="E117" s="1" t="s">
        <v>490</v>
      </c>
      <c r="J117" s="120">
        <f t="shared" si="2"/>
        <v>1.0848095312744945E-2</v>
      </c>
      <c r="K117" s="153">
        <f t="shared" si="3"/>
        <v>346</v>
      </c>
    </row>
    <row r="118" spans="2:11">
      <c r="B118" s="84" t="s">
        <v>1678</v>
      </c>
      <c r="C118" s="85">
        <v>21401.599999999999</v>
      </c>
      <c r="D118" s="2">
        <v>20974.6</v>
      </c>
      <c r="E118" s="1" t="s">
        <v>490</v>
      </c>
      <c r="J118" s="120">
        <f t="shared" si="2"/>
        <v>-1.9951779306220097E-2</v>
      </c>
      <c r="K118" s="154">
        <f t="shared" si="3"/>
        <v>-427</v>
      </c>
    </row>
    <row r="119" spans="2:11">
      <c r="B119" s="141" t="s">
        <v>1679</v>
      </c>
      <c r="C119" s="142">
        <v>90227</v>
      </c>
      <c r="D119" s="138">
        <v>88467.199999999997</v>
      </c>
      <c r="E119" s="86" t="s">
        <v>490</v>
      </c>
      <c r="J119" s="120">
        <f t="shared" si="2"/>
        <v>-1.9504139559112049E-2</v>
      </c>
      <c r="K119" s="154">
        <f t="shared" si="3"/>
        <v>-1759.8000000000029</v>
      </c>
    </row>
    <row r="120" spans="2:11">
      <c r="B120" s="84" t="s">
        <v>1680</v>
      </c>
      <c r="C120" s="137">
        <v>35486.85</v>
      </c>
      <c r="D120" s="137">
        <v>29859.3</v>
      </c>
      <c r="E120" s="84" t="s">
        <v>490</v>
      </c>
      <c r="F120" s="83"/>
      <c r="G120" s="83"/>
      <c r="H120" s="83"/>
      <c r="I120" s="83"/>
      <c r="J120" s="119">
        <f t="shared" si="2"/>
        <v>-0.1585812772900384</v>
      </c>
      <c r="K120" s="154">
        <f t="shared" si="3"/>
        <v>-5627.5499999999993</v>
      </c>
    </row>
    <row r="121" spans="2:11">
      <c r="B121" s="143" t="s">
        <v>1681</v>
      </c>
      <c r="C121" s="144">
        <v>23280</v>
      </c>
      <c r="D121" s="140">
        <v>23019</v>
      </c>
      <c r="E121" s="139" t="s">
        <v>490</v>
      </c>
      <c r="J121" s="120">
        <f t="shared" si="2"/>
        <v>-1.1211340206185567E-2</v>
      </c>
      <c r="K121" s="154">
        <f t="shared" si="3"/>
        <v>-261</v>
      </c>
    </row>
    <row r="122" spans="2:11">
      <c r="B122" s="84" t="s">
        <v>1682</v>
      </c>
      <c r="C122" s="85">
        <v>1282</v>
      </c>
      <c r="D122" s="2">
        <v>1246.1500000000001</v>
      </c>
      <c r="E122" s="1" t="s">
        <v>490</v>
      </c>
      <c r="J122" s="120">
        <f t="shared" si="2"/>
        <v>-2.796411856474252E-2</v>
      </c>
      <c r="K122" s="154">
        <f t="shared" si="3"/>
        <v>-35.849999999999909</v>
      </c>
    </row>
    <row r="123" spans="2:11">
      <c r="B123" s="84" t="s">
        <v>1683</v>
      </c>
      <c r="C123" s="85">
        <v>5468</v>
      </c>
      <c r="D123" s="2">
        <v>5570.4</v>
      </c>
      <c r="E123" s="1" t="s">
        <v>490</v>
      </c>
      <c r="F123" s="5">
        <f>SUM(C102:C123)</f>
        <v>877654.04</v>
      </c>
      <c r="G123" s="5">
        <f>SUM(D102:D123)</f>
        <v>872546.86</v>
      </c>
      <c r="H123" s="6">
        <v>-25886</v>
      </c>
      <c r="I123" s="20">
        <f>H123/F123</f>
        <v>-2.9494537505917479E-2</v>
      </c>
      <c r="J123" s="120">
        <f t="shared" si="2"/>
        <v>1.8727139722018952E-2</v>
      </c>
      <c r="K123" s="153">
        <f t="shared" si="3"/>
        <v>102.39999999999964</v>
      </c>
    </row>
    <row r="125" spans="2:11">
      <c r="C125" s="5">
        <f>SUM(C2:C124)</f>
        <v>6310628.2099999981</v>
      </c>
      <c r="D125" s="5">
        <f>SUM(D2:D124)</f>
        <v>6193042.4100000011</v>
      </c>
      <c r="E125" s="6">
        <f>D125-C125</f>
        <v>-117585.79999999702</v>
      </c>
      <c r="G125" s="18" t="s">
        <v>1684</v>
      </c>
      <c r="H125" s="6">
        <f>SUM(H2:H124)</f>
        <v>-138364.61999999933</v>
      </c>
      <c r="I125" s="20">
        <f>E125/C125</f>
        <v>-1.8632978538280432E-2</v>
      </c>
    </row>
  </sheetData>
  <autoFilter ref="B1:K123" xr:uid="{00000000-0001-0000-0000-000000000000}"/>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2AE1F-72FF-481A-9D9B-3D223E78B305}">
  <dimension ref="A1:O70"/>
  <sheetViews>
    <sheetView topLeftCell="A24" zoomScale="90" zoomScaleNormal="90" workbookViewId="0">
      <pane xSplit="2" topLeftCell="C29" activePane="topRight" state="frozen"/>
      <selection pane="topRight" activeCell="H25" sqref="H25"/>
      <selection activeCell="B1" sqref="B1"/>
    </sheetView>
  </sheetViews>
  <sheetFormatPr defaultColWidth="8.85546875" defaultRowHeight="15"/>
  <cols>
    <col min="1" max="1" width="4.7109375" style="645" customWidth="1"/>
    <col min="2" max="2" width="19.7109375" style="608" customWidth="1"/>
    <col min="3" max="3" width="8.85546875" style="645"/>
    <col min="4" max="4" width="8.85546875" style="1652"/>
    <col min="5" max="5" width="8.85546875" style="1659"/>
    <col min="6" max="6" width="8.85546875" style="1667"/>
    <col min="7" max="7" width="8.85546875" style="1362"/>
    <col min="8" max="8" width="8.85546875" style="508"/>
    <col min="9" max="9" width="8.85546875" style="1661"/>
    <col min="10" max="11" width="8.85546875" style="645"/>
    <col min="12" max="12" width="131.28515625" style="156" customWidth="1"/>
    <col min="13" max="13" width="37.42578125" customWidth="1"/>
  </cols>
  <sheetData>
    <row r="1" spans="1:14" ht="45.75">
      <c r="A1" s="1537" t="s">
        <v>0</v>
      </c>
      <c r="B1" s="1537" t="s">
        <v>1</v>
      </c>
      <c r="C1" s="1537" t="s">
        <v>2</v>
      </c>
      <c r="D1" s="1647" t="s">
        <v>3</v>
      </c>
      <c r="E1" s="1653" t="s">
        <v>4</v>
      </c>
      <c r="F1" s="1662" t="s">
        <v>5</v>
      </c>
      <c r="G1" s="1540" t="s">
        <v>6</v>
      </c>
      <c r="H1" s="1541" t="s">
        <v>7</v>
      </c>
      <c r="I1" s="1668" t="s">
        <v>8</v>
      </c>
      <c r="J1" s="1537" t="s">
        <v>9</v>
      </c>
      <c r="K1" s="1537" t="s">
        <v>10</v>
      </c>
      <c r="L1" s="1542" t="s">
        <v>12</v>
      </c>
    </row>
    <row r="2" spans="1:14" ht="62.45" customHeight="1">
      <c r="A2" s="632">
        <v>1</v>
      </c>
      <c r="B2" s="1611" t="s">
        <v>79</v>
      </c>
      <c r="C2" s="632">
        <v>125</v>
      </c>
      <c r="D2" s="1648">
        <v>17</v>
      </c>
      <c r="E2" s="1654">
        <v>18.3</v>
      </c>
      <c r="F2" s="1663">
        <f t="shared" ref="F2:F67" si="0">D2*E2</f>
        <v>311.10000000000002</v>
      </c>
      <c r="G2" s="1556">
        <v>25</v>
      </c>
      <c r="H2" s="1557">
        <v>24</v>
      </c>
      <c r="I2" s="1669">
        <f t="shared" ref="I2:I67" si="1">G2*H2</f>
        <v>600</v>
      </c>
      <c r="J2" s="1563">
        <f t="shared" ref="J2:J27" si="2">I2/F2-1</f>
        <v>0.92864030858244928</v>
      </c>
      <c r="K2" s="1564">
        <f t="shared" ref="K2:K27" si="3">C2*(1+J2)</f>
        <v>241.08003857280616</v>
      </c>
      <c r="L2" s="1581" t="s">
        <v>239</v>
      </c>
      <c r="M2" s="156" t="s">
        <v>240</v>
      </c>
    </row>
    <row r="3" spans="1:14" ht="61.5" customHeight="1">
      <c r="A3" s="632">
        <v>2</v>
      </c>
      <c r="B3" s="1611" t="s">
        <v>79</v>
      </c>
      <c r="C3" s="632">
        <v>125</v>
      </c>
      <c r="D3" s="1648">
        <v>17</v>
      </c>
      <c r="E3" s="1654">
        <v>18.3</v>
      </c>
      <c r="F3" s="1663">
        <f t="shared" si="0"/>
        <v>311.10000000000002</v>
      </c>
      <c r="G3" s="1556">
        <v>25</v>
      </c>
      <c r="H3" s="1557">
        <v>20</v>
      </c>
      <c r="I3" s="1669">
        <f t="shared" si="1"/>
        <v>500</v>
      </c>
      <c r="J3" s="1563">
        <f t="shared" si="2"/>
        <v>0.60720025715204096</v>
      </c>
      <c r="K3" s="1564">
        <f t="shared" si="3"/>
        <v>200.90003214400511</v>
      </c>
      <c r="L3" s="1582" t="s">
        <v>241</v>
      </c>
    </row>
    <row r="4" spans="1:14" ht="168.75" customHeight="1">
      <c r="A4" s="1565">
        <v>1</v>
      </c>
      <c r="B4" s="1606" t="s">
        <v>86</v>
      </c>
      <c r="C4" s="1311">
        <v>1099</v>
      </c>
      <c r="D4" s="1648">
        <v>46.6</v>
      </c>
      <c r="E4" s="1654">
        <v>38.5</v>
      </c>
      <c r="F4" s="1663">
        <f t="shared" si="0"/>
        <v>1794.1000000000001</v>
      </c>
      <c r="G4" s="1556">
        <v>46</v>
      </c>
      <c r="H4" s="1557">
        <f>D4</f>
        <v>46.6</v>
      </c>
      <c r="I4" s="1669">
        <f t="shared" si="1"/>
        <v>2143.6</v>
      </c>
      <c r="J4" s="1552">
        <f t="shared" si="2"/>
        <v>0.19480519480519476</v>
      </c>
      <c r="K4" s="1551">
        <f t="shared" si="3"/>
        <v>1313.090909090909</v>
      </c>
      <c r="L4" s="1583" t="s">
        <v>242</v>
      </c>
    </row>
    <row r="5" spans="1:14" ht="71.45" customHeight="1">
      <c r="A5" s="1311">
        <v>2</v>
      </c>
      <c r="B5" s="1606" t="s">
        <v>86</v>
      </c>
      <c r="C5" s="1311">
        <v>1099</v>
      </c>
      <c r="D5" s="1648">
        <v>46.6</v>
      </c>
      <c r="E5" s="1654">
        <v>38.5</v>
      </c>
      <c r="F5" s="1663">
        <f t="shared" si="0"/>
        <v>1794.1000000000001</v>
      </c>
      <c r="G5" s="1556">
        <v>46</v>
      </c>
      <c r="H5" s="1557">
        <v>39</v>
      </c>
      <c r="I5" s="1669">
        <f t="shared" si="1"/>
        <v>1794</v>
      </c>
      <c r="J5" s="1552">
        <f t="shared" si="2"/>
        <v>-5.5738253163184481E-5</v>
      </c>
      <c r="K5" s="1551">
        <f t="shared" si="3"/>
        <v>1098.9387436597738</v>
      </c>
      <c r="L5" s="1583" t="s">
        <v>243</v>
      </c>
    </row>
    <row r="6" spans="1:14" ht="106.5">
      <c r="A6" s="400">
        <v>1</v>
      </c>
      <c r="B6" s="1603" t="s">
        <v>57</v>
      </c>
      <c r="C6" s="400">
        <v>2773</v>
      </c>
      <c r="D6" s="1649">
        <v>26.3</v>
      </c>
      <c r="E6" s="1655">
        <v>517</v>
      </c>
      <c r="F6" s="1664">
        <f t="shared" si="0"/>
        <v>13597.1</v>
      </c>
      <c r="G6" s="1311">
        <v>540</v>
      </c>
      <c r="H6" s="400">
        <f>D6</f>
        <v>26.3</v>
      </c>
      <c r="I6" s="1012">
        <f t="shared" si="1"/>
        <v>14202</v>
      </c>
      <c r="J6" s="1417">
        <f t="shared" si="2"/>
        <v>4.4487427466150864E-2</v>
      </c>
      <c r="K6" s="1543">
        <f t="shared" si="3"/>
        <v>2896.3636363636365</v>
      </c>
      <c r="L6" s="1584" t="s">
        <v>244</v>
      </c>
    </row>
    <row r="7" spans="1:14" ht="91.5">
      <c r="A7" s="400">
        <v>2</v>
      </c>
      <c r="B7" s="1603" t="s">
        <v>57</v>
      </c>
      <c r="C7" s="400">
        <v>2773</v>
      </c>
      <c r="D7" s="1649">
        <v>26.3</v>
      </c>
      <c r="E7" s="1655">
        <v>517</v>
      </c>
      <c r="F7" s="1664">
        <f t="shared" si="0"/>
        <v>13597.1</v>
      </c>
      <c r="G7" s="1311">
        <v>540</v>
      </c>
      <c r="H7" s="400">
        <v>30</v>
      </c>
      <c r="I7" s="1012">
        <f t="shared" si="1"/>
        <v>16200</v>
      </c>
      <c r="J7" s="1417">
        <f t="shared" si="2"/>
        <v>0.19143052562678808</v>
      </c>
      <c r="K7" s="1543">
        <f t="shared" si="3"/>
        <v>3303.8368475630832</v>
      </c>
      <c r="L7" s="798" t="s">
        <v>245</v>
      </c>
    </row>
    <row r="8" spans="1:14" s="295" customFormat="1" ht="59.1" customHeight="1">
      <c r="A8" s="1566">
        <v>1</v>
      </c>
      <c r="B8" s="1604" t="s">
        <v>103</v>
      </c>
      <c r="C8" s="583">
        <v>87.7</v>
      </c>
      <c r="D8" s="1650">
        <v>46</v>
      </c>
      <c r="E8" s="1653">
        <v>6</v>
      </c>
      <c r="F8" s="1662">
        <f t="shared" si="0"/>
        <v>276</v>
      </c>
      <c r="G8" s="1548">
        <v>10</v>
      </c>
      <c r="H8" s="1549">
        <f>D8</f>
        <v>46</v>
      </c>
      <c r="I8" s="1668">
        <f t="shared" si="1"/>
        <v>460</v>
      </c>
      <c r="J8" s="1567">
        <f t="shared" si="2"/>
        <v>0.66666666666666674</v>
      </c>
      <c r="K8" s="1568">
        <f t="shared" si="3"/>
        <v>146.16666666666669</v>
      </c>
      <c r="L8" s="1093"/>
    </row>
    <row r="9" spans="1:14" s="295" customFormat="1" ht="57.6" customHeight="1">
      <c r="A9" s="583">
        <v>2</v>
      </c>
      <c r="B9" s="1604" t="s">
        <v>103</v>
      </c>
      <c r="C9" s="583">
        <v>87.7</v>
      </c>
      <c r="D9" s="1650">
        <v>46</v>
      </c>
      <c r="E9" s="1653">
        <v>6</v>
      </c>
      <c r="F9" s="1662">
        <f t="shared" si="0"/>
        <v>276</v>
      </c>
      <c r="G9" s="1548">
        <v>10</v>
      </c>
      <c r="H9" s="1549">
        <v>45</v>
      </c>
      <c r="I9" s="1668">
        <f t="shared" si="1"/>
        <v>450</v>
      </c>
      <c r="J9" s="1567">
        <f t="shared" si="2"/>
        <v>0.63043478260869557</v>
      </c>
      <c r="K9" s="1568">
        <f t="shared" si="3"/>
        <v>142.9891304347826</v>
      </c>
      <c r="L9" s="1093"/>
    </row>
    <row r="10" spans="1:14" s="295" customFormat="1" ht="18.600000000000001" customHeight="1">
      <c r="A10" s="443">
        <v>1</v>
      </c>
      <c r="B10" s="1612" t="s">
        <v>107</v>
      </c>
      <c r="C10" s="443">
        <v>3276</v>
      </c>
      <c r="D10" s="1648">
        <v>91.2</v>
      </c>
      <c r="E10" s="1655">
        <v>87.9</v>
      </c>
      <c r="F10" s="1663">
        <f t="shared" si="0"/>
        <v>8016.4800000000005</v>
      </c>
      <c r="G10" s="1556">
        <v>110</v>
      </c>
      <c r="H10" s="1557">
        <v>85</v>
      </c>
      <c r="I10" s="1669">
        <f t="shared" si="1"/>
        <v>9350</v>
      </c>
      <c r="J10" s="1530">
        <f t="shared" si="2"/>
        <v>0.16634732451150613</v>
      </c>
      <c r="K10" s="574">
        <f t="shared" si="3"/>
        <v>3820.9538350996941</v>
      </c>
      <c r="L10" s="1545" t="s">
        <v>246</v>
      </c>
      <c r="M10" s="1544"/>
      <c r="N10" s="1546"/>
    </row>
    <row r="11" spans="1:14" s="295" customFormat="1">
      <c r="A11" s="443">
        <v>2</v>
      </c>
      <c r="B11" s="1612" t="s">
        <v>107</v>
      </c>
      <c r="C11" s="443">
        <v>3276</v>
      </c>
      <c r="D11" s="1648">
        <v>91.2</v>
      </c>
      <c r="E11" s="1655">
        <v>87.9</v>
      </c>
      <c r="F11" s="1663">
        <f t="shared" si="0"/>
        <v>8016.4800000000005</v>
      </c>
      <c r="G11" s="1556">
        <v>110</v>
      </c>
      <c r="H11" s="1557">
        <v>70</v>
      </c>
      <c r="I11" s="1669">
        <f t="shared" si="1"/>
        <v>7700</v>
      </c>
      <c r="J11" s="1530">
        <f t="shared" si="2"/>
        <v>-3.9478673931700792E-2</v>
      </c>
      <c r="K11" s="574">
        <f t="shared" si="3"/>
        <v>3146.6678641997482</v>
      </c>
      <c r="L11" s="571"/>
      <c r="M11" s="567"/>
      <c r="N11" s="1546"/>
    </row>
    <row r="12" spans="1:14" s="203" customFormat="1" ht="114.75">
      <c r="A12" s="632"/>
      <c r="B12" s="1643" t="s">
        <v>123</v>
      </c>
      <c r="C12" s="175">
        <v>929</v>
      </c>
      <c r="D12" s="235">
        <v>22</v>
      </c>
      <c r="E12" s="1446">
        <v>140</v>
      </c>
      <c r="F12" s="1665">
        <f t="shared" si="0"/>
        <v>3080</v>
      </c>
      <c r="G12" s="775">
        <v>164</v>
      </c>
      <c r="H12" s="764">
        <f>D12</f>
        <v>22</v>
      </c>
      <c r="I12" s="1670">
        <f t="shared" si="1"/>
        <v>3608</v>
      </c>
      <c r="J12" s="1026">
        <f t="shared" si="2"/>
        <v>0.17142857142857149</v>
      </c>
      <c r="K12" s="1042">
        <f t="shared" si="3"/>
        <v>1088.257142857143</v>
      </c>
      <c r="L12" s="1644" t="s">
        <v>247</v>
      </c>
      <c r="M12" s="592"/>
      <c r="N12" s="1643"/>
    </row>
    <row r="13" spans="1:14" s="203" customFormat="1" ht="85.5">
      <c r="A13" s="632"/>
      <c r="B13" s="1643" t="s">
        <v>123</v>
      </c>
      <c r="C13" s="175">
        <v>929</v>
      </c>
      <c r="D13" s="235">
        <v>22</v>
      </c>
      <c r="E13" s="1446">
        <v>140</v>
      </c>
      <c r="F13" s="1665">
        <f t="shared" si="0"/>
        <v>3080</v>
      </c>
      <c r="G13" s="775">
        <v>160</v>
      </c>
      <c r="H13" s="764">
        <v>25</v>
      </c>
      <c r="I13" s="1670">
        <f t="shared" si="1"/>
        <v>4000</v>
      </c>
      <c r="J13" s="1026">
        <f t="shared" si="2"/>
        <v>0.29870129870129869</v>
      </c>
      <c r="K13" s="1042">
        <f t="shared" si="3"/>
        <v>1206.4935064935064</v>
      </c>
      <c r="L13" s="423" t="s">
        <v>248</v>
      </c>
      <c r="M13" s="592"/>
      <c r="N13" s="175"/>
    </row>
    <row r="14" spans="1:14" s="994" customFormat="1" ht="152.25">
      <c r="A14" s="18">
        <v>1</v>
      </c>
      <c r="B14" s="1537" t="s">
        <v>249</v>
      </c>
      <c r="C14" s="18">
        <v>571</v>
      </c>
      <c r="D14" s="1649">
        <v>67.599999999999994</v>
      </c>
      <c r="E14" s="1655">
        <v>96.9</v>
      </c>
      <c r="F14" s="1664">
        <f t="shared" si="0"/>
        <v>6550.44</v>
      </c>
      <c r="G14" s="1311">
        <v>150</v>
      </c>
      <c r="H14" s="400">
        <v>75</v>
      </c>
      <c r="I14" s="1012">
        <f t="shared" si="1"/>
        <v>11250</v>
      </c>
      <c r="J14" s="1236">
        <f t="shared" si="2"/>
        <v>0.71744188176672119</v>
      </c>
      <c r="K14" s="1547">
        <f t="shared" si="3"/>
        <v>980.6593144887978</v>
      </c>
      <c r="L14" s="1585" t="s">
        <v>250</v>
      </c>
      <c r="M14" s="1536" t="s">
        <v>251</v>
      </c>
    </row>
    <row r="15" spans="1:14" s="994" customFormat="1" ht="76.5">
      <c r="A15" s="18">
        <v>2</v>
      </c>
      <c r="B15" s="1537" t="s">
        <v>249</v>
      </c>
      <c r="C15" s="18">
        <v>571</v>
      </c>
      <c r="D15" s="1649">
        <v>67.599999999999994</v>
      </c>
      <c r="E15" s="1655">
        <v>96.9</v>
      </c>
      <c r="F15" s="1664">
        <f t="shared" si="0"/>
        <v>6550.44</v>
      </c>
      <c r="G15" s="1311">
        <v>188</v>
      </c>
      <c r="H15" s="400">
        <v>60</v>
      </c>
      <c r="I15" s="1012">
        <f t="shared" si="1"/>
        <v>11280</v>
      </c>
      <c r="J15" s="1236">
        <f t="shared" si="2"/>
        <v>0.72202172678476573</v>
      </c>
      <c r="K15" s="1547">
        <f t="shared" si="3"/>
        <v>983.27440599410124</v>
      </c>
      <c r="L15" s="1585" t="s">
        <v>252</v>
      </c>
      <c r="M15" s="1536" t="s">
        <v>253</v>
      </c>
    </row>
    <row r="16" spans="1:14" s="203" customFormat="1" ht="76.5">
      <c r="A16" s="632">
        <v>1</v>
      </c>
      <c r="B16" s="1611" t="s">
        <v>254</v>
      </c>
      <c r="C16" s="632">
        <v>820</v>
      </c>
      <c r="D16" s="1648">
        <v>48</v>
      </c>
      <c r="E16" s="1654">
        <v>17.600000000000001</v>
      </c>
      <c r="F16" s="1663">
        <f t="shared" si="0"/>
        <v>844.80000000000007</v>
      </c>
      <c r="G16" s="1556">
        <v>40</v>
      </c>
      <c r="H16" s="1557">
        <v>35</v>
      </c>
      <c r="I16" s="1669">
        <f t="shared" si="1"/>
        <v>1400</v>
      </c>
      <c r="J16" s="1563">
        <f t="shared" si="2"/>
        <v>0.6571969696969695</v>
      </c>
      <c r="K16" s="1564">
        <f t="shared" si="3"/>
        <v>1358.901515151515</v>
      </c>
      <c r="L16" s="1586" t="s">
        <v>255</v>
      </c>
    </row>
    <row r="17" spans="1:12" s="203" customFormat="1" ht="106.5">
      <c r="A17" s="632">
        <v>2</v>
      </c>
      <c r="B17" s="1611" t="s">
        <v>115</v>
      </c>
      <c r="C17" s="632">
        <v>820</v>
      </c>
      <c r="D17" s="1648">
        <v>48</v>
      </c>
      <c r="E17" s="1654">
        <v>17.600000000000001</v>
      </c>
      <c r="F17" s="1663">
        <f t="shared" si="0"/>
        <v>844.80000000000007</v>
      </c>
      <c r="G17" s="1556">
        <v>40</v>
      </c>
      <c r="H17" s="1557">
        <v>45</v>
      </c>
      <c r="I17" s="1669">
        <f t="shared" si="1"/>
        <v>1800</v>
      </c>
      <c r="J17" s="1563">
        <f t="shared" si="2"/>
        <v>1.1306818181818179</v>
      </c>
      <c r="K17" s="1564">
        <f t="shared" si="3"/>
        <v>1747.1590909090908</v>
      </c>
      <c r="L17" s="1586" t="s">
        <v>256</v>
      </c>
    </row>
    <row r="18" spans="1:12" s="295" customFormat="1" ht="60.75">
      <c r="A18" s="18">
        <v>1</v>
      </c>
      <c r="B18" s="1537" t="s">
        <v>257</v>
      </c>
      <c r="C18" s="18">
        <v>286</v>
      </c>
      <c r="D18" s="1648">
        <v>34.799999999999997</v>
      </c>
      <c r="E18" s="1654">
        <v>8.57</v>
      </c>
      <c r="F18" s="1663">
        <f t="shared" si="0"/>
        <v>298.23599999999999</v>
      </c>
      <c r="G18" s="1556">
        <v>12</v>
      </c>
      <c r="H18" s="1557">
        <v>34</v>
      </c>
      <c r="I18" s="1669">
        <f t="shared" si="1"/>
        <v>408</v>
      </c>
      <c r="J18" s="1236">
        <f t="shared" si="2"/>
        <v>0.36804409930390691</v>
      </c>
      <c r="K18" s="1547">
        <f t="shared" si="3"/>
        <v>391.26061240091735</v>
      </c>
      <c r="L18" s="1086" t="s">
        <v>258</v>
      </c>
    </row>
    <row r="19" spans="1:12" s="295" customFormat="1" ht="106.5">
      <c r="A19" s="18">
        <v>2</v>
      </c>
      <c r="B19" s="1537" t="s">
        <v>134</v>
      </c>
      <c r="C19" s="18">
        <v>286</v>
      </c>
      <c r="D19" s="1648">
        <v>34.200000000000003</v>
      </c>
      <c r="E19" s="1654">
        <v>8.57</v>
      </c>
      <c r="F19" s="1663">
        <f t="shared" si="0"/>
        <v>293.09400000000005</v>
      </c>
      <c r="G19" s="1556">
        <v>12</v>
      </c>
      <c r="H19" s="1557">
        <v>30</v>
      </c>
      <c r="I19" s="1669">
        <f t="shared" si="1"/>
        <v>360</v>
      </c>
      <c r="J19" s="1236">
        <f t="shared" si="2"/>
        <v>0.22827488791991635</v>
      </c>
      <c r="K19" s="1547">
        <f t="shared" si="3"/>
        <v>351.28661794509605</v>
      </c>
      <c r="L19" s="1086" t="s">
        <v>259</v>
      </c>
    </row>
    <row r="20" spans="1:12" ht="106.5">
      <c r="A20" s="673">
        <v>1</v>
      </c>
      <c r="B20" s="1605" t="s">
        <v>135</v>
      </c>
      <c r="C20" s="673">
        <v>2178</v>
      </c>
      <c r="D20" s="1650">
        <v>47</v>
      </c>
      <c r="E20" s="1656">
        <v>49.2</v>
      </c>
      <c r="F20" s="1662">
        <f t="shared" si="0"/>
        <v>2312.4</v>
      </c>
      <c r="G20" s="1548">
        <v>60</v>
      </c>
      <c r="H20" s="1549">
        <v>40</v>
      </c>
      <c r="I20" s="1668">
        <f t="shared" si="1"/>
        <v>2400</v>
      </c>
      <c r="J20" s="1180">
        <f t="shared" si="2"/>
        <v>3.7882719252724462E-2</v>
      </c>
      <c r="K20" s="1571">
        <f t="shared" si="3"/>
        <v>2260.5085625324341</v>
      </c>
      <c r="L20" s="1550" t="s">
        <v>260</v>
      </c>
    </row>
    <row r="21" spans="1:12">
      <c r="A21" s="673">
        <v>2</v>
      </c>
      <c r="B21" s="1605" t="s">
        <v>135</v>
      </c>
      <c r="C21" s="673">
        <v>2178</v>
      </c>
      <c r="D21" s="1650">
        <v>47</v>
      </c>
      <c r="E21" s="1656">
        <v>49.2</v>
      </c>
      <c r="F21" s="1662">
        <f t="shared" si="0"/>
        <v>2312.4</v>
      </c>
      <c r="G21" s="1548">
        <v>60</v>
      </c>
      <c r="H21" s="1549">
        <v>35</v>
      </c>
      <c r="I21" s="1668">
        <f t="shared" si="1"/>
        <v>2100</v>
      </c>
      <c r="J21" s="1180">
        <f t="shared" si="2"/>
        <v>-9.1852620653866124E-2</v>
      </c>
      <c r="K21" s="1571">
        <f t="shared" si="3"/>
        <v>1977.9449922158797</v>
      </c>
      <c r="L21" s="1550"/>
    </row>
    <row r="22" spans="1:12" ht="45.75">
      <c r="A22" s="865">
        <v>1</v>
      </c>
      <c r="B22" s="914" t="s">
        <v>261</v>
      </c>
      <c r="C22" s="915">
        <v>293</v>
      </c>
      <c r="D22" s="1645">
        <v>34</v>
      </c>
      <c r="E22" s="1646">
        <v>19.399999999999999</v>
      </c>
      <c r="F22" s="1660">
        <f t="shared" si="0"/>
        <v>659.59999999999991</v>
      </c>
      <c r="G22" s="781">
        <v>28</v>
      </c>
      <c r="H22" s="770">
        <v>35</v>
      </c>
      <c r="I22" s="1671">
        <f t="shared" si="1"/>
        <v>980</v>
      </c>
      <c r="J22" s="1069">
        <f t="shared" si="2"/>
        <v>0.48574893875075831</v>
      </c>
      <c r="K22" s="1065">
        <f t="shared" si="3"/>
        <v>435.32443905397218</v>
      </c>
      <c r="L22" s="1214" t="s">
        <v>262</v>
      </c>
    </row>
    <row r="23" spans="1:12" ht="45.75">
      <c r="A23" s="865">
        <v>2</v>
      </c>
      <c r="B23" s="914" t="s">
        <v>261</v>
      </c>
      <c r="C23" s="915">
        <v>293</v>
      </c>
      <c r="D23" s="1645">
        <v>34</v>
      </c>
      <c r="E23" s="1646">
        <v>19.399999999999999</v>
      </c>
      <c r="F23" s="1660">
        <f t="shared" si="0"/>
        <v>659.59999999999991</v>
      </c>
      <c r="G23" s="781">
        <v>25</v>
      </c>
      <c r="H23" s="770">
        <v>40</v>
      </c>
      <c r="I23" s="1671">
        <f t="shared" si="1"/>
        <v>1000</v>
      </c>
      <c r="J23" s="1069">
        <f t="shared" si="2"/>
        <v>0.51607034566403898</v>
      </c>
      <c r="K23" s="1065">
        <f t="shared" si="3"/>
        <v>444.2086112795634</v>
      </c>
      <c r="L23" s="673" t="s">
        <v>263</v>
      </c>
    </row>
    <row r="24" spans="1:12" ht="321">
      <c r="A24" s="1311">
        <v>1</v>
      </c>
      <c r="B24" s="1606" t="s">
        <v>264</v>
      </c>
      <c r="C24" s="1311">
        <v>5302</v>
      </c>
      <c r="D24" s="1649">
        <v>162</v>
      </c>
      <c r="E24" s="1655">
        <v>210</v>
      </c>
      <c r="F24" s="1664">
        <f t="shared" si="0"/>
        <v>34020</v>
      </c>
      <c r="G24" s="1311">
        <v>300</v>
      </c>
      <c r="H24" s="400">
        <v>120</v>
      </c>
      <c r="I24" s="1012">
        <f t="shared" si="1"/>
        <v>36000</v>
      </c>
      <c r="J24" s="1552">
        <f t="shared" si="2"/>
        <v>5.8201058201058142E-2</v>
      </c>
      <c r="K24" s="1551">
        <f t="shared" si="3"/>
        <v>5610.5820105820103</v>
      </c>
      <c r="L24" s="1587" t="s">
        <v>265</v>
      </c>
    </row>
    <row r="25" spans="1:12" ht="137.25">
      <c r="A25" s="1311">
        <v>2</v>
      </c>
      <c r="B25" s="1606" t="s">
        <v>264</v>
      </c>
      <c r="C25" s="1311">
        <v>5302</v>
      </c>
      <c r="D25" s="1649">
        <v>162</v>
      </c>
      <c r="E25" s="1655">
        <v>210</v>
      </c>
      <c r="F25" s="1664">
        <f t="shared" si="0"/>
        <v>34020</v>
      </c>
      <c r="G25" s="1311">
        <v>300</v>
      </c>
      <c r="H25" s="400">
        <v>140</v>
      </c>
      <c r="I25" s="1012">
        <f t="shared" si="1"/>
        <v>42000</v>
      </c>
      <c r="J25" s="1552">
        <f t="shared" si="2"/>
        <v>0.23456790123456783</v>
      </c>
      <c r="K25" s="1551">
        <f t="shared" si="3"/>
        <v>6545.6790123456785</v>
      </c>
      <c r="L25" s="1587" t="s">
        <v>266</v>
      </c>
    </row>
    <row r="26" spans="1:12" ht="60.75">
      <c r="A26" s="18">
        <v>1</v>
      </c>
      <c r="B26" s="583" t="s">
        <v>267</v>
      </c>
      <c r="C26" s="1553">
        <v>500</v>
      </c>
      <c r="D26" s="1651">
        <v>37.6</v>
      </c>
      <c r="E26" s="1657">
        <v>9.58</v>
      </c>
      <c r="F26" s="1666">
        <f t="shared" si="0"/>
        <v>360.20800000000003</v>
      </c>
      <c r="G26" s="1554">
        <v>20</v>
      </c>
      <c r="H26" s="1555">
        <v>30</v>
      </c>
      <c r="I26" s="1672">
        <f t="shared" si="1"/>
        <v>600</v>
      </c>
      <c r="J26" s="1572">
        <f t="shared" si="2"/>
        <v>0.66570425976102676</v>
      </c>
      <c r="K26" s="1573">
        <f t="shared" si="3"/>
        <v>832.85212988051342</v>
      </c>
      <c r="L26" s="1588" t="s">
        <v>268</v>
      </c>
    </row>
    <row r="27" spans="1:12" ht="259.5">
      <c r="A27" s="18">
        <v>2</v>
      </c>
      <c r="B27" s="583" t="s">
        <v>269</v>
      </c>
      <c r="C27" s="1553">
        <v>500</v>
      </c>
      <c r="D27" s="1651">
        <v>37.6</v>
      </c>
      <c r="E27" s="1657">
        <v>9.58</v>
      </c>
      <c r="F27" s="1666">
        <f t="shared" si="0"/>
        <v>360.20800000000003</v>
      </c>
      <c r="G27" s="1554">
        <v>20</v>
      </c>
      <c r="H27" s="1555">
        <v>25</v>
      </c>
      <c r="I27" s="1672">
        <f t="shared" si="1"/>
        <v>500</v>
      </c>
      <c r="J27" s="1572">
        <f t="shared" si="2"/>
        <v>0.38808688313418904</v>
      </c>
      <c r="K27" s="1573">
        <f t="shared" si="3"/>
        <v>694.04344156709453</v>
      </c>
      <c r="L27" s="1588" t="s">
        <v>270</v>
      </c>
    </row>
    <row r="28" spans="1:12" ht="152.25">
      <c r="A28" s="632">
        <v>1</v>
      </c>
      <c r="B28" s="1611" t="s">
        <v>147</v>
      </c>
      <c r="C28" s="632">
        <v>338</v>
      </c>
      <c r="D28" s="1648">
        <v>30.8</v>
      </c>
      <c r="E28" s="1654">
        <v>13.2</v>
      </c>
      <c r="F28" s="1663">
        <f t="shared" si="0"/>
        <v>406.56</v>
      </c>
      <c r="G28" s="1556">
        <v>17</v>
      </c>
      <c r="H28" s="1557">
        <v>30</v>
      </c>
      <c r="I28" s="1669">
        <f t="shared" si="1"/>
        <v>510</v>
      </c>
      <c r="J28" s="1563">
        <f>I28/F28-1</f>
        <v>0.25442739079102705</v>
      </c>
      <c r="K28" s="1564">
        <f>C28*(1+J28)</f>
        <v>423.99645808736716</v>
      </c>
      <c r="L28" s="1589" t="s">
        <v>271</v>
      </c>
    </row>
    <row r="29" spans="1:12" ht="152.25">
      <c r="A29" s="632">
        <v>2</v>
      </c>
      <c r="B29" s="1611" t="s">
        <v>147</v>
      </c>
      <c r="C29" s="632">
        <v>338</v>
      </c>
      <c r="D29" s="1648">
        <v>30.8</v>
      </c>
      <c r="E29" s="1654">
        <v>13.2</v>
      </c>
      <c r="F29" s="1663">
        <f t="shared" si="0"/>
        <v>406.56</v>
      </c>
      <c r="G29" s="1556">
        <v>20</v>
      </c>
      <c r="H29" s="1557">
        <v>25</v>
      </c>
      <c r="I29" s="1669">
        <f t="shared" si="1"/>
        <v>500</v>
      </c>
      <c r="J29" s="1563">
        <f>I29/F29-1</f>
        <v>0.22983077528532081</v>
      </c>
      <c r="K29" s="1564">
        <f>C29*(1+J29)</f>
        <v>415.68280204643844</v>
      </c>
      <c r="L29" s="1589" t="s">
        <v>272</v>
      </c>
    </row>
    <row r="30" spans="1:12" ht="76.5">
      <c r="A30" s="614">
        <v>1</v>
      </c>
      <c r="B30" s="1605" t="s">
        <v>273</v>
      </c>
      <c r="C30" s="614">
        <v>163</v>
      </c>
      <c r="D30" s="1649">
        <v>17.5</v>
      </c>
      <c r="E30" s="1655">
        <v>58.69</v>
      </c>
      <c r="F30" s="1664">
        <f t="shared" si="0"/>
        <v>1027.075</v>
      </c>
      <c r="G30" s="1311">
        <v>88</v>
      </c>
      <c r="H30" s="400">
        <v>25</v>
      </c>
      <c r="I30" s="1012">
        <f t="shared" si="1"/>
        <v>2200</v>
      </c>
      <c r="J30" s="1510">
        <f t="shared" ref="J30:J31" si="4">I30/F30-1</f>
        <v>1.1420052089672126</v>
      </c>
      <c r="K30" s="1558">
        <f t="shared" ref="K30:K31" si="5">C30*(1+J30)</f>
        <v>349.14684906165564</v>
      </c>
      <c r="L30" s="956" t="s">
        <v>274</v>
      </c>
    </row>
    <row r="31" spans="1:12" ht="45.75">
      <c r="A31" s="614">
        <v>2</v>
      </c>
      <c r="B31" s="1605" t="s">
        <v>275</v>
      </c>
      <c r="C31" s="614">
        <v>175</v>
      </c>
      <c r="D31" s="1649">
        <v>17.5</v>
      </c>
      <c r="E31" s="1655">
        <v>60.4</v>
      </c>
      <c r="F31" s="1664">
        <f t="shared" si="0"/>
        <v>1057</v>
      </c>
      <c r="G31" s="1311">
        <v>88</v>
      </c>
      <c r="H31" s="400">
        <v>20</v>
      </c>
      <c r="I31" s="1012">
        <f t="shared" si="1"/>
        <v>1760</v>
      </c>
      <c r="J31" s="1510">
        <f t="shared" si="4"/>
        <v>0.66508987701040678</v>
      </c>
      <c r="K31" s="1558">
        <f t="shared" si="5"/>
        <v>291.39072847682121</v>
      </c>
      <c r="L31" s="1590" t="s">
        <v>276</v>
      </c>
    </row>
    <row r="32" spans="1:12" ht="45.75">
      <c r="A32" s="1559">
        <v>1</v>
      </c>
      <c r="B32" s="1607" t="s">
        <v>160</v>
      </c>
      <c r="C32" s="1559">
        <v>90</v>
      </c>
      <c r="D32" s="1648">
        <v>28.3</v>
      </c>
      <c r="E32" s="1655">
        <v>96.3</v>
      </c>
      <c r="F32" s="1663">
        <f t="shared" si="0"/>
        <v>2725.29</v>
      </c>
      <c r="G32" s="1556">
        <v>110</v>
      </c>
      <c r="H32" s="1557">
        <v>26</v>
      </c>
      <c r="I32" s="1669">
        <f t="shared" si="1"/>
        <v>2860</v>
      </c>
      <c r="J32" s="1569">
        <f t="shared" ref="J32:J39" si="6">I32/F32-1</f>
        <v>4.94296019873115E-2</v>
      </c>
      <c r="K32" s="1570">
        <f t="shared" ref="K32:K39" si="7">C32*(1+J32)</f>
        <v>94.448664178858039</v>
      </c>
      <c r="L32" s="1591" t="s">
        <v>277</v>
      </c>
    </row>
    <row r="33" spans="1:12" ht="91.5">
      <c r="A33" s="1559">
        <v>2</v>
      </c>
      <c r="B33" s="1607" t="s">
        <v>160</v>
      </c>
      <c r="C33" s="1559">
        <v>90</v>
      </c>
      <c r="D33" s="1648">
        <v>28.3</v>
      </c>
      <c r="E33" s="1655">
        <v>96.3</v>
      </c>
      <c r="F33" s="1663">
        <f t="shared" si="0"/>
        <v>2725.29</v>
      </c>
      <c r="G33" s="1556">
        <v>110</v>
      </c>
      <c r="H33" s="1557">
        <v>34</v>
      </c>
      <c r="I33" s="1669">
        <f t="shared" si="1"/>
        <v>3740</v>
      </c>
      <c r="J33" s="1569">
        <f t="shared" si="6"/>
        <v>0.3723310179834074</v>
      </c>
      <c r="K33" s="1570">
        <f t="shared" si="7"/>
        <v>123.50979161850667</v>
      </c>
      <c r="L33" s="1591" t="s">
        <v>278</v>
      </c>
    </row>
    <row r="34" spans="1:12" s="295" customFormat="1" ht="106.5">
      <c r="A34" s="18">
        <v>1</v>
      </c>
      <c r="B34" s="1537" t="s">
        <v>279</v>
      </c>
      <c r="C34" s="18">
        <v>1363</v>
      </c>
      <c r="D34" s="1648">
        <v>45.19</v>
      </c>
      <c r="E34" s="1655">
        <v>94</v>
      </c>
      <c r="F34" s="1663">
        <f t="shared" si="0"/>
        <v>4247.8599999999997</v>
      </c>
      <c r="G34" s="1556">
        <f>60+53.52+8.42+4.6</f>
        <v>126.54</v>
      </c>
      <c r="H34" s="1557">
        <v>45</v>
      </c>
      <c r="I34" s="1669">
        <f t="shared" si="1"/>
        <v>5694.3</v>
      </c>
      <c r="J34" s="1236">
        <f t="shared" si="6"/>
        <v>0.34051028047063703</v>
      </c>
      <c r="K34" s="1547">
        <f t="shared" si="7"/>
        <v>1827.1155122814782</v>
      </c>
      <c r="L34" s="621" t="s">
        <v>280</v>
      </c>
    </row>
    <row r="35" spans="1:12" s="295" customFormat="1" ht="108">
      <c r="A35" s="18">
        <v>2</v>
      </c>
      <c r="B35" s="1537" t="s">
        <v>163</v>
      </c>
      <c r="C35" s="18">
        <v>1363</v>
      </c>
      <c r="D35" s="1648">
        <v>45.19</v>
      </c>
      <c r="E35" s="1655">
        <v>94</v>
      </c>
      <c r="F35" s="1663">
        <f t="shared" si="0"/>
        <v>4247.8599999999997</v>
      </c>
      <c r="G35" s="1556">
        <v>125</v>
      </c>
      <c r="H35" s="1557">
        <v>35</v>
      </c>
      <c r="I35" s="1669">
        <f t="shared" si="1"/>
        <v>4375</v>
      </c>
      <c r="J35" s="1236">
        <f t="shared" si="6"/>
        <v>2.993036493669754E-2</v>
      </c>
      <c r="K35" s="1547">
        <f t="shared" si="7"/>
        <v>1403.7950874087187</v>
      </c>
      <c r="L35" s="621" t="s">
        <v>281</v>
      </c>
    </row>
    <row r="36" spans="1:12" ht="45.75">
      <c r="A36" s="614">
        <v>1</v>
      </c>
      <c r="B36" s="1605" t="s">
        <v>282</v>
      </c>
      <c r="C36" s="614">
        <v>400</v>
      </c>
      <c r="D36" s="1649">
        <v>17.79</v>
      </c>
      <c r="E36" s="1655">
        <v>1749</v>
      </c>
      <c r="F36" s="1664">
        <f t="shared" si="0"/>
        <v>31114.71</v>
      </c>
      <c r="G36" s="1311">
        <v>2000</v>
      </c>
      <c r="H36" s="400">
        <f>D36</f>
        <v>17.79</v>
      </c>
      <c r="I36" s="1012">
        <f t="shared" si="1"/>
        <v>35580</v>
      </c>
      <c r="J36" s="1510">
        <f t="shared" si="6"/>
        <v>0.14351057747284157</v>
      </c>
      <c r="K36" s="1558">
        <f t="shared" si="7"/>
        <v>457.40423098913664</v>
      </c>
      <c r="L36" s="1592" t="s">
        <v>283</v>
      </c>
    </row>
    <row r="37" spans="1:12" ht="167.25">
      <c r="A37" s="614">
        <v>2</v>
      </c>
      <c r="B37" s="1605" t="s">
        <v>56</v>
      </c>
      <c r="C37" s="614">
        <v>400</v>
      </c>
      <c r="D37" s="1649">
        <v>17.79</v>
      </c>
      <c r="E37" s="1655">
        <v>1749</v>
      </c>
      <c r="F37" s="1664">
        <f t="shared" si="0"/>
        <v>31114.71</v>
      </c>
      <c r="G37" s="1311">
        <v>2000</v>
      </c>
      <c r="H37" s="400">
        <v>23.6</v>
      </c>
      <c r="I37" s="1012">
        <f t="shared" si="1"/>
        <v>47200</v>
      </c>
      <c r="J37" s="1510">
        <f t="shared" si="6"/>
        <v>0.51696737652383717</v>
      </c>
      <c r="K37" s="1558">
        <f t="shared" si="7"/>
        <v>606.78695060953487</v>
      </c>
      <c r="L37" s="956" t="s">
        <v>284</v>
      </c>
    </row>
    <row r="38" spans="1:12" ht="91.5">
      <c r="A38" s="18">
        <v>1</v>
      </c>
      <c r="B38" s="1537" t="s">
        <v>285</v>
      </c>
      <c r="C38" s="18">
        <v>3058</v>
      </c>
      <c r="D38" s="1649">
        <v>37.6</v>
      </c>
      <c r="E38" s="1655">
        <v>259</v>
      </c>
      <c r="F38" s="1664">
        <f t="shared" si="0"/>
        <v>9738.4</v>
      </c>
      <c r="G38" s="1311">
        <v>325</v>
      </c>
      <c r="H38" s="400">
        <v>30</v>
      </c>
      <c r="I38" s="1012">
        <f t="shared" si="1"/>
        <v>9750</v>
      </c>
      <c r="J38" s="1236">
        <f t="shared" si="6"/>
        <v>1.1911607656289736E-3</v>
      </c>
      <c r="K38" s="1547">
        <f t="shared" si="7"/>
        <v>3061.6425696212932</v>
      </c>
      <c r="L38" s="621" t="s">
        <v>286</v>
      </c>
    </row>
    <row r="39" spans="1:12" ht="183">
      <c r="A39" s="18">
        <v>2</v>
      </c>
      <c r="B39" s="1537" t="s">
        <v>285</v>
      </c>
      <c r="C39" s="18">
        <v>3058</v>
      </c>
      <c r="D39" s="1649">
        <v>37.6</v>
      </c>
      <c r="E39" s="1655">
        <v>259</v>
      </c>
      <c r="F39" s="1664">
        <f t="shared" si="0"/>
        <v>9738.4</v>
      </c>
      <c r="G39" s="1311">
        <v>320</v>
      </c>
      <c r="H39" s="400">
        <v>35</v>
      </c>
      <c r="I39" s="1012">
        <f t="shared" si="1"/>
        <v>11200</v>
      </c>
      <c r="J39" s="1236">
        <f t="shared" si="6"/>
        <v>0.15008625646923535</v>
      </c>
      <c r="K39" s="1547">
        <f t="shared" si="7"/>
        <v>3516.9637722829216</v>
      </c>
      <c r="L39" s="1593" t="s">
        <v>287</v>
      </c>
    </row>
    <row r="40" spans="1:12" ht="45.75">
      <c r="A40" s="614">
        <v>1</v>
      </c>
      <c r="B40" s="1605" t="s">
        <v>288</v>
      </c>
      <c r="C40" s="614">
        <v>113.9</v>
      </c>
      <c r="D40" s="1648">
        <v>22.75</v>
      </c>
      <c r="E40" s="1654">
        <v>9</v>
      </c>
      <c r="F40" s="1663">
        <f t="shared" si="0"/>
        <v>204.75</v>
      </c>
      <c r="G40" s="1556">
        <v>22</v>
      </c>
      <c r="H40" s="1557">
        <v>25</v>
      </c>
      <c r="I40" s="1669">
        <f t="shared" si="1"/>
        <v>550</v>
      </c>
      <c r="J40" s="1510">
        <f t="shared" ref="J40:J67" si="8">I40/F40-1</f>
        <v>1.686202686202686</v>
      </c>
      <c r="K40" s="1558">
        <f t="shared" ref="K40:K67" si="9">C40*(1+J40)</f>
        <v>305.95848595848594</v>
      </c>
      <c r="L40" s="1594" t="s">
        <v>289</v>
      </c>
    </row>
    <row r="41" spans="1:12" ht="45.75">
      <c r="A41" s="614">
        <v>2</v>
      </c>
      <c r="B41" s="1605" t="s">
        <v>171</v>
      </c>
      <c r="C41" s="614">
        <v>113.9</v>
      </c>
      <c r="D41" s="1648">
        <v>22.75</v>
      </c>
      <c r="E41" s="1654">
        <v>9</v>
      </c>
      <c r="F41" s="1663">
        <f t="shared" si="0"/>
        <v>204.75</v>
      </c>
      <c r="G41" s="1556">
        <v>22</v>
      </c>
      <c r="H41" s="1557">
        <v>20</v>
      </c>
      <c r="I41" s="1669">
        <f t="shared" si="1"/>
        <v>440</v>
      </c>
      <c r="J41" s="1510">
        <f t="shared" si="8"/>
        <v>1.1489621489621489</v>
      </c>
      <c r="K41" s="1558">
        <f t="shared" si="9"/>
        <v>244.76678876678878</v>
      </c>
      <c r="L41" s="1594" t="s">
        <v>290</v>
      </c>
    </row>
    <row r="42" spans="1:12" ht="152.25">
      <c r="A42" s="1227">
        <v>1</v>
      </c>
      <c r="B42" s="1608" t="s">
        <v>179</v>
      </c>
      <c r="C42" s="1227">
        <v>765</v>
      </c>
      <c r="D42" s="1649">
        <v>54.4</v>
      </c>
      <c r="E42" s="1655">
        <v>166</v>
      </c>
      <c r="F42" s="1664">
        <f t="shared" si="0"/>
        <v>9030.4</v>
      </c>
      <c r="G42" s="1311">
        <v>240</v>
      </c>
      <c r="H42" s="400">
        <v>45</v>
      </c>
      <c r="I42" s="1012">
        <f t="shared" si="1"/>
        <v>10800</v>
      </c>
      <c r="J42" s="1575">
        <f t="shared" si="8"/>
        <v>0.19596031183557772</v>
      </c>
      <c r="K42" s="1574">
        <f t="shared" si="9"/>
        <v>914.90963855421694</v>
      </c>
      <c r="L42" s="1595" t="s">
        <v>291</v>
      </c>
    </row>
    <row r="43" spans="1:12" ht="45.75">
      <c r="A43" s="1227">
        <v>2</v>
      </c>
      <c r="B43" s="1608" t="s">
        <v>179</v>
      </c>
      <c r="C43" s="1227">
        <v>765</v>
      </c>
      <c r="D43" s="1649">
        <v>54.4</v>
      </c>
      <c r="E43" s="1655">
        <v>166</v>
      </c>
      <c r="F43" s="1664">
        <f t="shared" si="0"/>
        <v>9030.4</v>
      </c>
      <c r="G43" s="1311">
        <v>200</v>
      </c>
      <c r="H43" s="400">
        <v>40</v>
      </c>
      <c r="I43" s="1012">
        <f t="shared" si="1"/>
        <v>8000</v>
      </c>
      <c r="J43" s="1575">
        <f t="shared" si="8"/>
        <v>-0.11410347271438692</v>
      </c>
      <c r="K43" s="1574">
        <f t="shared" si="9"/>
        <v>677.71084337349396</v>
      </c>
      <c r="L43" s="1596" t="s">
        <v>292</v>
      </c>
    </row>
    <row r="44" spans="1:12" ht="45.75">
      <c r="A44" s="18">
        <v>1</v>
      </c>
      <c r="B44" s="1537" t="s">
        <v>175</v>
      </c>
      <c r="C44" s="18">
        <v>253</v>
      </c>
      <c r="D44" s="1648">
        <v>30.9</v>
      </c>
      <c r="E44" s="1654">
        <v>22</v>
      </c>
      <c r="F44" s="1663">
        <f t="shared" si="0"/>
        <v>679.8</v>
      </c>
      <c r="G44" s="1556">
        <v>30</v>
      </c>
      <c r="H44" s="1557">
        <v>40</v>
      </c>
      <c r="I44" s="1669">
        <f t="shared" si="1"/>
        <v>1200</v>
      </c>
      <c r="J44" s="1236">
        <f t="shared" si="8"/>
        <v>0.76522506619594011</v>
      </c>
      <c r="K44" s="1547">
        <f t="shared" si="9"/>
        <v>446.60194174757282</v>
      </c>
      <c r="L44" s="1542" t="s">
        <v>293</v>
      </c>
    </row>
    <row r="45" spans="1:12">
      <c r="A45" s="18">
        <v>2</v>
      </c>
      <c r="B45" s="1537" t="s">
        <v>175</v>
      </c>
      <c r="C45" s="18">
        <v>253</v>
      </c>
      <c r="D45" s="1648">
        <v>30.9</v>
      </c>
      <c r="E45" s="1654">
        <v>22</v>
      </c>
      <c r="F45" s="1663">
        <f t="shared" si="0"/>
        <v>679.8</v>
      </c>
      <c r="G45" s="1556">
        <v>30</v>
      </c>
      <c r="H45" s="1557">
        <v>35</v>
      </c>
      <c r="I45" s="1669">
        <f t="shared" si="1"/>
        <v>1050</v>
      </c>
      <c r="J45" s="1236">
        <f t="shared" si="8"/>
        <v>0.54457193292144757</v>
      </c>
      <c r="K45" s="1547">
        <f t="shared" si="9"/>
        <v>390.77669902912623</v>
      </c>
      <c r="L45" s="822" t="s">
        <v>294</v>
      </c>
    </row>
    <row r="46" spans="1:12" s="1580" customFormat="1" ht="76.5">
      <c r="A46" s="1170">
        <v>1</v>
      </c>
      <c r="B46" s="1609" t="s">
        <v>295</v>
      </c>
      <c r="C46" s="1170">
        <v>1577</v>
      </c>
      <c r="D46" s="1648">
        <v>27.4</v>
      </c>
      <c r="E46" s="1655">
        <v>361</v>
      </c>
      <c r="F46" s="1663">
        <f t="shared" si="0"/>
        <v>9891.4</v>
      </c>
      <c r="G46" s="1556">
        <v>400</v>
      </c>
      <c r="H46" s="1557">
        <f>D46</f>
        <v>27.4</v>
      </c>
      <c r="I46" s="1669">
        <f t="shared" si="1"/>
        <v>10960</v>
      </c>
      <c r="J46" s="1578">
        <f>I46/F46-1</f>
        <v>0.10803324099723</v>
      </c>
      <c r="K46" s="1579">
        <f>C46*(1+J46)</f>
        <v>1747.3684210526317</v>
      </c>
      <c r="L46" s="1597" t="s">
        <v>296</v>
      </c>
    </row>
    <row r="47" spans="1:12" s="1580" customFormat="1" ht="76.5">
      <c r="A47" s="1170">
        <v>2</v>
      </c>
      <c r="B47" s="1609" t="s">
        <v>295</v>
      </c>
      <c r="C47" s="1170">
        <v>1577</v>
      </c>
      <c r="D47" s="1648">
        <v>27.4</v>
      </c>
      <c r="E47" s="1655">
        <v>65</v>
      </c>
      <c r="F47" s="1663">
        <f t="shared" si="0"/>
        <v>1781</v>
      </c>
      <c r="G47" s="1556">
        <v>400</v>
      </c>
      <c r="H47" s="1557">
        <v>30</v>
      </c>
      <c r="I47" s="1669">
        <f t="shared" si="1"/>
        <v>12000</v>
      </c>
      <c r="J47" s="1578">
        <f>I47/F47-1</f>
        <v>5.7377877596855695</v>
      </c>
      <c r="K47" s="1579">
        <f>C47*(1+J47)</f>
        <v>10625.491297024144</v>
      </c>
      <c r="L47" s="1597" t="s">
        <v>297</v>
      </c>
    </row>
    <row r="48" spans="1:12" ht="137.25">
      <c r="A48" s="1538" t="s">
        <v>182</v>
      </c>
      <c r="B48" s="1611" t="s">
        <v>298</v>
      </c>
      <c r="C48" s="1538" t="s">
        <v>299</v>
      </c>
      <c r="D48" s="1648">
        <v>30</v>
      </c>
      <c r="E48" s="1654">
        <v>26.2</v>
      </c>
      <c r="F48" s="1663">
        <f t="shared" si="0"/>
        <v>786</v>
      </c>
      <c r="G48" s="1556">
        <v>40</v>
      </c>
      <c r="H48" s="1557">
        <v>35</v>
      </c>
      <c r="I48" s="1669">
        <f t="shared" si="1"/>
        <v>1400</v>
      </c>
      <c r="J48" s="1563">
        <f t="shared" si="8"/>
        <v>0.78117048346055973</v>
      </c>
      <c r="K48" s="1564">
        <f t="shared" si="9"/>
        <v>582.44274809160299</v>
      </c>
      <c r="L48" s="1582" t="s">
        <v>300</v>
      </c>
    </row>
    <row r="49" spans="1:15" ht="60.75">
      <c r="A49" s="1538" t="s">
        <v>186</v>
      </c>
      <c r="B49" s="1611" t="s">
        <v>301</v>
      </c>
      <c r="C49" s="1538" t="s">
        <v>299</v>
      </c>
      <c r="D49" s="1648">
        <v>30</v>
      </c>
      <c r="E49" s="1654">
        <v>26.2</v>
      </c>
      <c r="F49" s="1663">
        <f t="shared" si="0"/>
        <v>786</v>
      </c>
      <c r="G49" s="1556">
        <v>40</v>
      </c>
      <c r="H49" s="1557">
        <v>30</v>
      </c>
      <c r="I49" s="1669">
        <f t="shared" si="1"/>
        <v>1200</v>
      </c>
      <c r="J49" s="1563">
        <f t="shared" si="8"/>
        <v>0.5267175572519085</v>
      </c>
      <c r="K49" s="1564">
        <f t="shared" si="9"/>
        <v>499.2366412213741</v>
      </c>
      <c r="L49" s="1589" t="s">
        <v>302</v>
      </c>
    </row>
    <row r="50" spans="1:15" ht="30" customHeight="1">
      <c r="A50" s="614">
        <v>1</v>
      </c>
      <c r="B50" s="1626" t="s">
        <v>303</v>
      </c>
      <c r="C50" s="614">
        <v>158</v>
      </c>
      <c r="D50" s="1648">
        <v>30</v>
      </c>
      <c r="E50" s="1654">
        <v>8.1</v>
      </c>
      <c r="F50" s="1663">
        <f t="shared" si="0"/>
        <v>243</v>
      </c>
      <c r="G50" s="1556">
        <v>11</v>
      </c>
      <c r="H50" s="1557">
        <v>35</v>
      </c>
      <c r="I50" s="1669">
        <f t="shared" si="1"/>
        <v>385</v>
      </c>
      <c r="J50" s="1510">
        <f t="shared" si="8"/>
        <v>0.58436213991769548</v>
      </c>
      <c r="K50" s="1558">
        <f t="shared" si="9"/>
        <v>250.32921810699588</v>
      </c>
      <c r="L50" s="964" t="s">
        <v>304</v>
      </c>
    </row>
    <row r="51" spans="1:15" ht="60.75">
      <c r="A51" s="614">
        <v>2</v>
      </c>
      <c r="B51" s="1626" t="s">
        <v>305</v>
      </c>
      <c r="C51" s="614">
        <v>158</v>
      </c>
      <c r="D51" s="1648">
        <v>30</v>
      </c>
      <c r="E51" s="1654">
        <v>8.1</v>
      </c>
      <c r="F51" s="1663">
        <f t="shared" si="0"/>
        <v>243</v>
      </c>
      <c r="G51" s="1556">
        <v>11</v>
      </c>
      <c r="H51" s="1557">
        <v>34.6</v>
      </c>
      <c r="I51" s="1669">
        <f t="shared" si="1"/>
        <v>380.6</v>
      </c>
      <c r="J51" s="1510">
        <f t="shared" si="8"/>
        <v>0.56625514403292199</v>
      </c>
      <c r="K51" s="1558">
        <f t="shared" si="9"/>
        <v>247.46831275720169</v>
      </c>
      <c r="L51" s="964" t="s">
        <v>306</v>
      </c>
    </row>
    <row r="52" spans="1:15" ht="213">
      <c r="A52" s="614">
        <v>1</v>
      </c>
      <c r="B52" s="1605" t="s">
        <v>46</v>
      </c>
      <c r="C52" s="614">
        <v>540</v>
      </c>
      <c r="D52" s="1649">
        <v>36.200000000000003</v>
      </c>
      <c r="E52" s="1655">
        <v>876</v>
      </c>
      <c r="F52" s="1664">
        <f t="shared" si="0"/>
        <v>31711.200000000001</v>
      </c>
      <c r="G52" s="1311">
        <v>1050</v>
      </c>
      <c r="H52" s="400">
        <v>35</v>
      </c>
      <c r="I52" s="1012">
        <f t="shared" si="1"/>
        <v>36750</v>
      </c>
      <c r="J52" s="1510">
        <f t="shared" si="8"/>
        <v>0.158896541285098</v>
      </c>
      <c r="K52" s="1558">
        <f t="shared" si="9"/>
        <v>625.80413229395288</v>
      </c>
      <c r="L52" s="956" t="s">
        <v>307</v>
      </c>
    </row>
    <row r="53" spans="1:15" ht="137.25">
      <c r="A53" s="614">
        <v>2</v>
      </c>
      <c r="B53" s="1605" t="s">
        <v>46</v>
      </c>
      <c r="C53" s="614">
        <v>540</v>
      </c>
      <c r="D53" s="1649">
        <v>36.200000000000003</v>
      </c>
      <c r="E53" s="1655">
        <v>876</v>
      </c>
      <c r="F53" s="1664">
        <f t="shared" si="0"/>
        <v>31711.200000000001</v>
      </c>
      <c r="G53" s="1311">
        <v>1100</v>
      </c>
      <c r="H53" s="400">
        <v>45</v>
      </c>
      <c r="I53" s="1012">
        <f t="shared" si="1"/>
        <v>49500</v>
      </c>
      <c r="J53" s="1510">
        <f t="shared" si="8"/>
        <v>0.56096268826156059</v>
      </c>
      <c r="K53" s="1558">
        <f t="shared" si="9"/>
        <v>842.91985166124277</v>
      </c>
      <c r="L53" s="956" t="s">
        <v>308</v>
      </c>
    </row>
    <row r="54" spans="1:15" s="293" customFormat="1" ht="43.5">
      <c r="A54" s="400"/>
      <c r="B54" s="234" t="s">
        <v>309</v>
      </c>
      <c r="C54" s="233">
        <v>1471</v>
      </c>
      <c r="D54" s="235">
        <v>57</v>
      </c>
      <c r="E54" s="1446">
        <v>341</v>
      </c>
      <c r="F54" s="1665">
        <f t="shared" si="0"/>
        <v>19437</v>
      </c>
      <c r="G54" s="775">
        <v>400</v>
      </c>
      <c r="H54" s="764">
        <v>50</v>
      </c>
      <c r="I54" s="1670">
        <f t="shared" si="1"/>
        <v>20000</v>
      </c>
      <c r="J54" s="1025">
        <f t="shared" si="8"/>
        <v>2.8965375315120667E-2</v>
      </c>
      <c r="K54" s="1041">
        <f t="shared" si="9"/>
        <v>1513.6080670885426</v>
      </c>
      <c r="L54" s="450" t="s">
        <v>310</v>
      </c>
      <c r="M54" s="604"/>
      <c r="N54" s="233"/>
      <c r="O54" s="1630"/>
    </row>
    <row r="55" spans="1:15" s="293" customFormat="1" ht="72">
      <c r="A55" s="400"/>
      <c r="B55" s="1631" t="s">
        <v>209</v>
      </c>
      <c r="C55" s="233">
        <v>1471</v>
      </c>
      <c r="D55" s="235">
        <v>57</v>
      </c>
      <c r="E55" s="1446">
        <v>341</v>
      </c>
      <c r="F55" s="1665">
        <f t="shared" si="0"/>
        <v>19437</v>
      </c>
      <c r="G55" s="775">
        <v>460</v>
      </c>
      <c r="H55" s="764">
        <v>45</v>
      </c>
      <c r="I55" s="1670">
        <f t="shared" si="1"/>
        <v>20700</v>
      </c>
      <c r="J55" s="1025">
        <f t="shared" si="8"/>
        <v>6.4979163451149846E-2</v>
      </c>
      <c r="K55" s="1041">
        <f t="shared" si="9"/>
        <v>1566.5843494366413</v>
      </c>
      <c r="L55" s="450" t="s">
        <v>211</v>
      </c>
      <c r="M55" s="604"/>
      <c r="N55" s="233"/>
      <c r="O55" s="1630"/>
    </row>
    <row r="56" spans="1:15" s="295" customFormat="1" ht="45" customHeight="1">
      <c r="A56" s="18"/>
      <c r="B56" s="1537" t="s">
        <v>311</v>
      </c>
      <c r="C56" s="18">
        <v>577</v>
      </c>
      <c r="D56" s="1649">
        <v>38.5</v>
      </c>
      <c r="E56" s="1655">
        <v>876</v>
      </c>
      <c r="F56" s="1664">
        <f t="shared" ref="F56:F57" si="10">D56*E56</f>
        <v>33726</v>
      </c>
      <c r="G56" s="1311">
        <v>1100</v>
      </c>
      <c r="H56" s="400">
        <v>45</v>
      </c>
      <c r="I56" s="1012">
        <f t="shared" ref="I56:I57" si="11">G56*H56</f>
        <v>49500</v>
      </c>
      <c r="J56" s="1236">
        <f t="shared" ref="J56:J57" si="12">I56/F56-1</f>
        <v>0.46771037181996089</v>
      </c>
      <c r="K56" s="1547">
        <f t="shared" ref="K56:K57" si="13">C56*(1+J56)</f>
        <v>846.86888454011739</v>
      </c>
      <c r="L56" s="621" t="s">
        <v>312</v>
      </c>
    </row>
    <row r="57" spans="1:15" s="295" customFormat="1" ht="38.450000000000003" customHeight="1">
      <c r="A57" s="18"/>
      <c r="B57" s="1537" t="s">
        <v>311</v>
      </c>
      <c r="C57" s="18">
        <v>577</v>
      </c>
      <c r="D57" s="1649">
        <v>38.5</v>
      </c>
      <c r="E57" s="1655">
        <v>876</v>
      </c>
      <c r="F57" s="1664">
        <f t="shared" si="10"/>
        <v>33726</v>
      </c>
      <c r="G57" s="1311">
        <v>1100</v>
      </c>
      <c r="H57" s="400">
        <v>45</v>
      </c>
      <c r="I57" s="1012">
        <f t="shared" si="11"/>
        <v>49500</v>
      </c>
      <c r="J57" s="1236">
        <f t="shared" si="12"/>
        <v>0.46771037181996089</v>
      </c>
      <c r="K57" s="1547">
        <f t="shared" si="13"/>
        <v>846.86888454011739</v>
      </c>
      <c r="L57" s="621"/>
    </row>
    <row r="58" spans="1:15" ht="167.25">
      <c r="A58" s="614">
        <v>1</v>
      </c>
      <c r="B58" s="1605" t="s">
        <v>313</v>
      </c>
      <c r="C58" s="614">
        <v>1473</v>
      </c>
      <c r="D58" s="1648">
        <v>50.85</v>
      </c>
      <c r="E58" s="1655">
        <v>49.8</v>
      </c>
      <c r="F58" s="1663">
        <f t="shared" si="0"/>
        <v>2532.33</v>
      </c>
      <c r="G58" s="1556">
        <v>60</v>
      </c>
      <c r="H58" s="1557">
        <v>60</v>
      </c>
      <c r="I58" s="1669">
        <f t="shared" si="1"/>
        <v>3600</v>
      </c>
      <c r="J58" s="1510">
        <f t="shared" si="8"/>
        <v>0.42161566620464153</v>
      </c>
      <c r="K58" s="1558">
        <f t="shared" si="9"/>
        <v>2094.0398763194371</v>
      </c>
      <c r="L58" s="1598" t="s">
        <v>314</v>
      </c>
    </row>
    <row r="59" spans="1:15" ht="167.25">
      <c r="A59" s="614">
        <v>2</v>
      </c>
      <c r="B59" s="1605" t="s">
        <v>212</v>
      </c>
      <c r="C59" s="614">
        <v>1473</v>
      </c>
      <c r="D59" s="1648">
        <v>50.85</v>
      </c>
      <c r="E59" s="1655">
        <v>49.8</v>
      </c>
      <c r="F59" s="1663">
        <f t="shared" si="0"/>
        <v>2532.33</v>
      </c>
      <c r="G59" s="1556">
        <v>60</v>
      </c>
      <c r="H59" s="1557">
        <v>48</v>
      </c>
      <c r="I59" s="1669">
        <f t="shared" si="1"/>
        <v>2880</v>
      </c>
      <c r="J59" s="1510">
        <f t="shared" si="8"/>
        <v>0.13729253296371335</v>
      </c>
      <c r="K59" s="1558">
        <f t="shared" si="9"/>
        <v>1675.2319010555498</v>
      </c>
      <c r="L59" s="1599" t="s">
        <v>315</v>
      </c>
    </row>
    <row r="60" spans="1:15" ht="76.5">
      <c r="A60" s="1625">
        <v>1</v>
      </c>
      <c r="B60" s="1626" t="s">
        <v>316</v>
      </c>
      <c r="C60" s="614">
        <v>348</v>
      </c>
      <c r="D60" s="1648">
        <v>22.3</v>
      </c>
      <c r="E60" s="1654">
        <v>22.9</v>
      </c>
      <c r="F60" s="1663">
        <f t="shared" si="0"/>
        <v>510.66999999999996</v>
      </c>
      <c r="G60" s="1556">
        <v>33</v>
      </c>
      <c r="H60" s="1557">
        <v>23</v>
      </c>
      <c r="I60" s="1669">
        <f t="shared" si="1"/>
        <v>759</v>
      </c>
      <c r="J60" s="1510">
        <f t="shared" si="8"/>
        <v>0.48628272661405614</v>
      </c>
      <c r="K60" s="1558">
        <f t="shared" si="9"/>
        <v>517.22638886169159</v>
      </c>
      <c r="L60" s="964" t="s">
        <v>317</v>
      </c>
    </row>
    <row r="61" spans="1:15" ht="45.75">
      <c r="A61" s="1625">
        <v>2</v>
      </c>
      <c r="B61" s="1626" t="s">
        <v>318</v>
      </c>
      <c r="C61" s="614">
        <v>348</v>
      </c>
      <c r="D61" s="1648">
        <v>22.3</v>
      </c>
      <c r="E61" s="1654">
        <v>22.9</v>
      </c>
      <c r="F61" s="1663">
        <f t="shared" si="0"/>
        <v>510.66999999999996</v>
      </c>
      <c r="G61" s="1556">
        <v>30</v>
      </c>
      <c r="H61" s="1557">
        <v>25</v>
      </c>
      <c r="I61" s="1669">
        <f t="shared" si="1"/>
        <v>750</v>
      </c>
      <c r="J61" s="1510">
        <f t="shared" si="8"/>
        <v>0.46865882076487764</v>
      </c>
      <c r="K61" s="1558">
        <f t="shared" si="9"/>
        <v>511.0932696261774</v>
      </c>
      <c r="L61" s="964" t="s">
        <v>319</v>
      </c>
    </row>
    <row r="62" spans="1:15" ht="60.75">
      <c r="A62" s="614">
        <v>1</v>
      </c>
      <c r="B62" s="1605" t="s">
        <v>223</v>
      </c>
      <c r="C62" s="614">
        <v>240</v>
      </c>
      <c r="D62" s="1648">
        <v>24.66</v>
      </c>
      <c r="E62" s="1654">
        <v>23.2</v>
      </c>
      <c r="F62" s="1663">
        <f t="shared" si="0"/>
        <v>572.11199999999997</v>
      </c>
      <c r="G62" s="1556">
        <v>25</v>
      </c>
      <c r="H62" s="1557">
        <f>D62</f>
        <v>24.66</v>
      </c>
      <c r="I62" s="1669">
        <f t="shared" si="1"/>
        <v>616.5</v>
      </c>
      <c r="J62" s="1510">
        <f t="shared" si="8"/>
        <v>7.7586206896551824E-2</v>
      </c>
      <c r="K62" s="1558">
        <f t="shared" si="9"/>
        <v>258.62068965517244</v>
      </c>
      <c r="L62" s="964" t="s">
        <v>320</v>
      </c>
    </row>
    <row r="63" spans="1:15" ht="121.5">
      <c r="A63" s="614">
        <v>2</v>
      </c>
      <c r="B63" s="1605" t="s">
        <v>223</v>
      </c>
      <c r="C63" s="614">
        <v>240</v>
      </c>
      <c r="D63" s="1648">
        <v>24.66</v>
      </c>
      <c r="E63" s="1654">
        <v>23.2</v>
      </c>
      <c r="F63" s="1663">
        <f t="shared" si="0"/>
        <v>572.11199999999997</v>
      </c>
      <c r="G63" s="1556">
        <v>30</v>
      </c>
      <c r="H63" s="1557">
        <f>D63</f>
        <v>24.66</v>
      </c>
      <c r="I63" s="1669">
        <f t="shared" si="1"/>
        <v>739.8</v>
      </c>
      <c r="J63" s="1510">
        <f t="shared" si="8"/>
        <v>0.2931034482758621</v>
      </c>
      <c r="K63" s="1558">
        <f t="shared" si="9"/>
        <v>310.34482758620692</v>
      </c>
      <c r="L63" s="1550" t="s">
        <v>321</v>
      </c>
    </row>
    <row r="64" spans="1:15" ht="72.95" customHeight="1">
      <c r="A64" s="167">
        <v>1</v>
      </c>
      <c r="B64" s="1627" t="s">
        <v>322</v>
      </c>
      <c r="C64" s="1560">
        <v>384</v>
      </c>
      <c r="D64" s="1651">
        <v>63</v>
      </c>
      <c r="E64" s="1657">
        <v>7.8</v>
      </c>
      <c r="F64" s="1666">
        <f t="shared" si="0"/>
        <v>491.4</v>
      </c>
      <c r="G64" s="1554">
        <v>20</v>
      </c>
      <c r="H64" s="1555">
        <v>30</v>
      </c>
      <c r="I64" s="1672">
        <f t="shared" si="1"/>
        <v>600</v>
      </c>
      <c r="J64" s="1576">
        <f t="shared" si="8"/>
        <v>0.2210012210012211</v>
      </c>
      <c r="K64" s="1577">
        <f t="shared" si="9"/>
        <v>468.8644688644689</v>
      </c>
      <c r="L64" s="1600" t="s">
        <v>323</v>
      </c>
    </row>
    <row r="65" spans="1:12" ht="97.5" customHeight="1">
      <c r="A65" s="1539">
        <v>2</v>
      </c>
      <c r="B65" s="1628" t="s">
        <v>324</v>
      </c>
      <c r="C65" s="1560">
        <v>384</v>
      </c>
      <c r="D65" s="1651">
        <v>63</v>
      </c>
      <c r="E65" s="1657">
        <v>7.8</v>
      </c>
      <c r="F65" s="1666">
        <f t="shared" si="0"/>
        <v>491.4</v>
      </c>
      <c r="G65" s="1554">
        <v>15</v>
      </c>
      <c r="H65" s="1555">
        <v>35</v>
      </c>
      <c r="I65" s="1672">
        <f t="shared" si="1"/>
        <v>525</v>
      </c>
      <c r="J65" s="1576">
        <f t="shared" si="8"/>
        <v>6.8376068376068355E-2</v>
      </c>
      <c r="K65" s="1577">
        <f t="shared" si="9"/>
        <v>410.25641025641028</v>
      </c>
      <c r="L65" s="1601" t="s">
        <v>325</v>
      </c>
    </row>
    <row r="66" spans="1:12" ht="106.5">
      <c r="A66" s="1553">
        <v>1</v>
      </c>
      <c r="B66" s="1610" t="s">
        <v>326</v>
      </c>
      <c r="C66" s="1553">
        <v>1698</v>
      </c>
      <c r="D66" s="1651">
        <v>99.8</v>
      </c>
      <c r="E66" s="1658">
        <v>161</v>
      </c>
      <c r="F66" s="1666">
        <f t="shared" si="0"/>
        <v>16067.8</v>
      </c>
      <c r="G66" s="1554">
        <v>225</v>
      </c>
      <c r="H66" s="1555">
        <v>75</v>
      </c>
      <c r="I66" s="1672">
        <f t="shared" si="1"/>
        <v>16875</v>
      </c>
      <c r="J66" s="1572">
        <f t="shared" si="8"/>
        <v>5.0237120203139307E-2</v>
      </c>
      <c r="K66" s="1573">
        <f t="shared" si="9"/>
        <v>1783.3026301049306</v>
      </c>
      <c r="L66" s="1602" t="s">
        <v>327</v>
      </c>
    </row>
    <row r="67" spans="1:12" ht="91.5">
      <c r="A67" s="18">
        <v>2</v>
      </c>
      <c r="B67" s="1537" t="s">
        <v>229</v>
      </c>
      <c r="C67" s="1553">
        <v>1698</v>
      </c>
      <c r="D67" s="1651">
        <v>99.8</v>
      </c>
      <c r="E67" s="1655">
        <v>161</v>
      </c>
      <c r="F67" s="1663">
        <f t="shared" si="0"/>
        <v>16067.8</v>
      </c>
      <c r="G67" s="1561">
        <v>225</v>
      </c>
      <c r="H67" s="1562">
        <v>70</v>
      </c>
      <c r="I67" s="1669">
        <f t="shared" si="1"/>
        <v>15750</v>
      </c>
      <c r="J67" s="1236">
        <f t="shared" si="8"/>
        <v>-1.9778687810403373E-2</v>
      </c>
      <c r="K67" s="1547">
        <f t="shared" si="9"/>
        <v>1664.4157880979351</v>
      </c>
      <c r="L67" s="1585" t="s">
        <v>231</v>
      </c>
    </row>
    <row r="68" spans="1:12">
      <c r="B68" s="608" t="s">
        <v>328</v>
      </c>
    </row>
    <row r="69" spans="1:12">
      <c r="B69" s="608" t="s">
        <v>329</v>
      </c>
    </row>
    <row r="70" spans="1:12">
      <c r="B70" s="608" t="s">
        <v>330</v>
      </c>
    </row>
  </sheetData>
  <hyperlinks>
    <hyperlink ref="B56" r:id="rId1" display="https://www.nseindia.com/get-quotes/equity?symbol=THOMASCOTT" xr:uid="{F1C45943-0F34-468B-A72B-982B6A795195}"/>
    <hyperlink ref="B57" r:id="rId2" display="https://www.nseindia.com/get-quotes/equity?symbol=THOMASCOTT" xr:uid="{8DACBD31-2D13-410F-9B48-21782381752D}"/>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4DE6D7-ADAA-46B0-A063-E82604BEE8D0}">
  <dimension ref="B1:E125"/>
  <sheetViews>
    <sheetView zoomScaleNormal="100" workbookViewId="0">
      <pane ySplit="1" topLeftCell="A2" activePane="bottomLeft" state="frozen"/>
      <selection pane="bottomLeft" activeCell="J70" sqref="J70"/>
    </sheetView>
  </sheetViews>
  <sheetFormatPr defaultRowHeight="14.45"/>
  <cols>
    <col min="2" max="2" width="32.5703125" style="28" bestFit="1" customWidth="1"/>
    <col min="3" max="3" width="14.28515625" style="3" customWidth="1"/>
    <col min="4" max="4" width="15.28515625" style="3" customWidth="1"/>
    <col min="5" max="5" width="10.42578125" bestFit="1" customWidth="1"/>
  </cols>
  <sheetData>
    <row r="1" spans="2:5">
      <c r="B1" s="23" t="s">
        <v>1</v>
      </c>
      <c r="C1" s="19" t="s">
        <v>616</v>
      </c>
      <c r="D1" s="19" t="s">
        <v>617</v>
      </c>
      <c r="E1" s="18" t="s">
        <v>1444</v>
      </c>
    </row>
    <row r="2" spans="2:5">
      <c r="B2" s="25" t="s">
        <v>68</v>
      </c>
      <c r="C2" s="11">
        <v>2689.02</v>
      </c>
      <c r="D2" s="11">
        <v>2774.7</v>
      </c>
      <c r="E2" s="12" t="s">
        <v>1650</v>
      </c>
    </row>
    <row r="3" spans="2:5">
      <c r="B3" s="25" t="s">
        <v>1651</v>
      </c>
      <c r="C3" s="11">
        <v>1364.35</v>
      </c>
      <c r="D3" s="13">
        <v>1188.3499999999999</v>
      </c>
      <c r="E3" s="12" t="s">
        <v>1650</v>
      </c>
    </row>
    <row r="4" spans="2:5">
      <c r="B4" s="25" t="s">
        <v>1652</v>
      </c>
      <c r="C4" s="11">
        <v>1113.23</v>
      </c>
      <c r="D4" s="13">
        <v>1540.85</v>
      </c>
      <c r="E4" s="12" t="s">
        <v>1650</v>
      </c>
    </row>
    <row r="5" spans="2:5">
      <c r="B5" s="25" t="s">
        <v>1653</v>
      </c>
      <c r="C5" s="11">
        <v>203850</v>
      </c>
      <c r="D5" s="13">
        <v>180320</v>
      </c>
      <c r="E5" s="12" t="s">
        <v>1650</v>
      </c>
    </row>
    <row r="6" spans="2:5">
      <c r="B6" s="26" t="s">
        <v>1073</v>
      </c>
      <c r="C6" s="17">
        <v>23903.55</v>
      </c>
      <c r="D6" s="17">
        <v>23134.5</v>
      </c>
      <c r="E6" s="16" t="s">
        <v>507</v>
      </c>
    </row>
    <row r="7" spans="2:5">
      <c r="B7" s="27" t="s">
        <v>1662</v>
      </c>
      <c r="C7" s="2">
        <v>57574.6</v>
      </c>
      <c r="D7" s="2">
        <v>56057.3</v>
      </c>
      <c r="E7" s="1" t="s">
        <v>490</v>
      </c>
    </row>
    <row r="8" spans="2:5">
      <c r="B8" s="27" t="s">
        <v>1663</v>
      </c>
      <c r="C8" s="2">
        <v>215360</v>
      </c>
      <c r="D8" s="2">
        <v>228800</v>
      </c>
      <c r="E8" s="1" t="s">
        <v>490</v>
      </c>
    </row>
    <row r="9" spans="2:5">
      <c r="B9" s="25" t="s">
        <v>1449</v>
      </c>
      <c r="C9" s="11">
        <v>129176.1</v>
      </c>
      <c r="D9" s="13">
        <v>159097.5</v>
      </c>
      <c r="E9" s="12" t="s">
        <v>1650</v>
      </c>
    </row>
    <row r="10" spans="2:5">
      <c r="B10" s="26" t="s">
        <v>1449</v>
      </c>
      <c r="C10" s="17">
        <v>17266.5</v>
      </c>
      <c r="D10" s="17">
        <v>17860.5</v>
      </c>
      <c r="E10" s="16" t="s">
        <v>507</v>
      </c>
    </row>
    <row r="11" spans="2:5">
      <c r="B11" s="27" t="s">
        <v>1664</v>
      </c>
      <c r="C11" s="2">
        <v>2638.5</v>
      </c>
      <c r="D11" s="2">
        <v>2784.5</v>
      </c>
      <c r="E11" s="1" t="s">
        <v>490</v>
      </c>
    </row>
    <row r="12" spans="2:5">
      <c r="B12" s="25" t="s">
        <v>83</v>
      </c>
      <c r="C12" s="11">
        <v>10618</v>
      </c>
      <c r="D12" s="13">
        <v>10750</v>
      </c>
      <c r="E12" s="12" t="s">
        <v>1650</v>
      </c>
    </row>
    <row r="13" spans="2:5">
      <c r="B13" s="26" t="s">
        <v>83</v>
      </c>
      <c r="C13" s="17" t="s">
        <v>1685</v>
      </c>
      <c r="D13" s="17">
        <v>86640</v>
      </c>
      <c r="E13" s="16" t="s">
        <v>507</v>
      </c>
    </row>
    <row r="14" spans="2:5">
      <c r="B14" s="25" t="s">
        <v>1655</v>
      </c>
      <c r="C14" s="11">
        <v>2090.5500000000002</v>
      </c>
      <c r="D14" s="13">
        <v>2073.4499999999998</v>
      </c>
      <c r="E14" s="12" t="s">
        <v>1650</v>
      </c>
    </row>
    <row r="15" spans="2:5">
      <c r="B15" s="27" t="s">
        <v>1665</v>
      </c>
      <c r="C15" s="2">
        <v>344.04</v>
      </c>
      <c r="D15" s="2">
        <v>334.36</v>
      </c>
      <c r="E15" s="1" t="s">
        <v>490</v>
      </c>
    </row>
    <row r="16" spans="2:5">
      <c r="B16" s="24" t="s">
        <v>1661</v>
      </c>
      <c r="C16" s="8">
        <v>6363.96</v>
      </c>
      <c r="D16" s="8">
        <v>6333.7</v>
      </c>
      <c r="E16" s="9" t="s">
        <v>1637</v>
      </c>
    </row>
    <row r="17" spans="2:5">
      <c r="B17" s="26" t="s">
        <v>1661</v>
      </c>
      <c r="C17" s="17">
        <v>63500</v>
      </c>
      <c r="D17" s="17">
        <v>63337</v>
      </c>
      <c r="E17" s="16" t="s">
        <v>507</v>
      </c>
    </row>
    <row r="18" spans="2:5">
      <c r="B18" s="25" t="s">
        <v>1571</v>
      </c>
      <c r="C18" s="11">
        <v>66956.899999999994</v>
      </c>
      <c r="D18" s="13">
        <v>66360</v>
      </c>
      <c r="E18" s="12" t="s">
        <v>1650</v>
      </c>
    </row>
    <row r="19" spans="2:5">
      <c r="B19" s="26" t="s">
        <v>1571</v>
      </c>
      <c r="C19" s="17">
        <v>107100</v>
      </c>
      <c r="D19" s="17">
        <v>106176</v>
      </c>
      <c r="E19" s="16" t="s">
        <v>507</v>
      </c>
    </row>
    <row r="20" spans="2:5">
      <c r="B20" s="24" t="s">
        <v>57</v>
      </c>
      <c r="C20" s="8">
        <v>4983.46</v>
      </c>
      <c r="D20" s="8">
        <v>4864.7</v>
      </c>
      <c r="E20" s="9" t="s">
        <v>1637</v>
      </c>
    </row>
    <row r="21" spans="2:5">
      <c r="B21" s="26" t="s">
        <v>57</v>
      </c>
      <c r="C21" s="17">
        <v>62775</v>
      </c>
      <c r="D21" s="17">
        <v>60808.75</v>
      </c>
      <c r="E21" s="16" t="s">
        <v>507</v>
      </c>
    </row>
    <row r="22" spans="2:5">
      <c r="B22" s="25" t="s">
        <v>1575</v>
      </c>
      <c r="C22" s="11">
        <v>78254.100000000006</v>
      </c>
      <c r="D22" s="13">
        <v>85174.5</v>
      </c>
      <c r="E22" s="12" t="s">
        <v>1650</v>
      </c>
    </row>
    <row r="23" spans="2:5">
      <c r="B23" s="24" t="s">
        <v>1451</v>
      </c>
      <c r="C23" s="8">
        <v>15603.4</v>
      </c>
      <c r="D23" s="8">
        <v>15353</v>
      </c>
      <c r="E23" s="9" t="s">
        <v>1637</v>
      </c>
    </row>
    <row r="24" spans="2:5">
      <c r="B24" s="26" t="s">
        <v>1451</v>
      </c>
      <c r="C24" s="17">
        <v>78300</v>
      </c>
      <c r="D24" s="17">
        <v>77300</v>
      </c>
      <c r="E24" s="16" t="s">
        <v>507</v>
      </c>
    </row>
    <row r="25" spans="2:5">
      <c r="B25" s="27" t="s">
        <v>1666</v>
      </c>
      <c r="C25" s="2">
        <v>33876.800000000003</v>
      </c>
      <c r="D25" s="2">
        <v>32176.2</v>
      </c>
      <c r="E25" s="1" t="s">
        <v>490</v>
      </c>
    </row>
    <row r="26" spans="2:5">
      <c r="B26" s="27" t="s">
        <v>1667</v>
      </c>
      <c r="C26" s="2">
        <v>66009.399999999994</v>
      </c>
      <c r="D26" s="2">
        <v>69901.899999999994</v>
      </c>
      <c r="E26" s="1" t="s">
        <v>490</v>
      </c>
    </row>
    <row r="27" spans="2:5">
      <c r="B27" s="25" t="s">
        <v>622</v>
      </c>
      <c r="C27" s="11">
        <v>93895</v>
      </c>
      <c r="D27" s="13">
        <v>87730</v>
      </c>
      <c r="E27" s="12" t="s">
        <v>1650</v>
      </c>
    </row>
    <row r="28" spans="2:5">
      <c r="B28" s="26" t="s">
        <v>622</v>
      </c>
      <c r="C28" s="17">
        <v>6482</v>
      </c>
      <c r="D28" s="17">
        <v>6167</v>
      </c>
      <c r="E28" s="16" t="s">
        <v>507</v>
      </c>
    </row>
    <row r="29" spans="2:5">
      <c r="B29" s="25" t="s">
        <v>1656</v>
      </c>
      <c r="C29" s="11">
        <v>66625.820000000007</v>
      </c>
      <c r="D29" s="13">
        <v>67434.3</v>
      </c>
      <c r="E29" s="12" t="s">
        <v>1650</v>
      </c>
    </row>
    <row r="30" spans="2:5">
      <c r="B30" s="26" t="s">
        <v>1656</v>
      </c>
      <c r="C30" s="17">
        <v>55012.5</v>
      </c>
      <c r="D30" s="17">
        <v>54382.5</v>
      </c>
      <c r="E30" s="16" t="s">
        <v>507</v>
      </c>
    </row>
    <row r="31" spans="2:5">
      <c r="B31" s="25" t="s">
        <v>1582</v>
      </c>
      <c r="C31" s="11">
        <v>81348.479999999996</v>
      </c>
      <c r="D31" s="13">
        <v>81412.2</v>
      </c>
      <c r="E31" s="12" t="s">
        <v>1650</v>
      </c>
    </row>
    <row r="32" spans="2:5">
      <c r="B32" s="27" t="s">
        <v>1668</v>
      </c>
      <c r="C32" s="2">
        <v>17487.95</v>
      </c>
      <c r="D32" s="2">
        <v>18083.849999999999</v>
      </c>
      <c r="E32" s="1" t="s">
        <v>490</v>
      </c>
    </row>
    <row r="33" spans="2:5">
      <c r="B33" s="27" t="s">
        <v>1669</v>
      </c>
      <c r="C33" s="2">
        <v>43000</v>
      </c>
      <c r="D33" s="2">
        <v>38640</v>
      </c>
      <c r="E33" s="1" t="s">
        <v>490</v>
      </c>
    </row>
    <row r="34" spans="2:5">
      <c r="B34" s="25" t="s">
        <v>1098</v>
      </c>
      <c r="C34" s="11">
        <v>2608.14</v>
      </c>
      <c r="D34" s="13">
        <v>2271.4499999999998</v>
      </c>
      <c r="E34" s="12" t="s">
        <v>1650</v>
      </c>
    </row>
    <row r="35" spans="2:5">
      <c r="B35" s="26" t="s">
        <v>1098</v>
      </c>
      <c r="C35" s="17">
        <v>35879.360000000001</v>
      </c>
      <c r="D35" s="17">
        <v>33314.6</v>
      </c>
      <c r="E35" s="16" t="s">
        <v>507</v>
      </c>
    </row>
    <row r="36" spans="2:5">
      <c r="B36" s="25" t="s">
        <v>235</v>
      </c>
      <c r="C36" s="11">
        <v>79388</v>
      </c>
      <c r="D36" s="13">
        <v>72640</v>
      </c>
      <c r="E36" s="12" t="s">
        <v>1650</v>
      </c>
    </row>
    <row r="37" spans="2:5">
      <c r="B37" s="24" t="s">
        <v>1587</v>
      </c>
      <c r="C37" s="8">
        <v>94382.93</v>
      </c>
      <c r="D37" s="8">
        <v>117652.05</v>
      </c>
      <c r="E37" s="9" t="s">
        <v>1637</v>
      </c>
    </row>
    <row r="38" spans="2:5">
      <c r="B38" s="25" t="s">
        <v>1587</v>
      </c>
      <c r="C38" s="11">
        <v>47467.8</v>
      </c>
      <c r="D38" s="13">
        <v>66595.5</v>
      </c>
      <c r="E38" s="12" t="s">
        <v>1650</v>
      </c>
    </row>
    <row r="39" spans="2:5">
      <c r="B39" s="26" t="s">
        <v>1587</v>
      </c>
      <c r="C39" s="17">
        <v>271862.40000000002</v>
      </c>
      <c r="D39" s="17">
        <v>354824</v>
      </c>
      <c r="E39" s="16" t="s">
        <v>507</v>
      </c>
    </row>
    <row r="40" spans="2:5">
      <c r="B40" s="25" t="s">
        <v>1589</v>
      </c>
      <c r="C40" s="11">
        <v>21887.5</v>
      </c>
      <c r="D40" s="13">
        <v>20476.25</v>
      </c>
      <c r="E40" s="12" t="s">
        <v>1650</v>
      </c>
    </row>
    <row r="41" spans="2:5">
      <c r="B41" s="26" t="s">
        <v>1589</v>
      </c>
      <c r="C41" s="17">
        <v>164613.6</v>
      </c>
      <c r="D41" s="17">
        <v>148140</v>
      </c>
      <c r="E41" s="16" t="s">
        <v>507</v>
      </c>
    </row>
    <row r="42" spans="2:5">
      <c r="B42" s="25" t="s">
        <v>610</v>
      </c>
      <c r="C42" s="11">
        <v>9461.9</v>
      </c>
      <c r="D42" s="13">
        <v>6143.9</v>
      </c>
      <c r="E42" s="12" t="s">
        <v>1650</v>
      </c>
    </row>
    <row r="43" spans="2:5">
      <c r="B43" s="25" t="s">
        <v>236</v>
      </c>
      <c r="C43" s="11">
        <v>30326.400000000001</v>
      </c>
      <c r="D43" s="13">
        <v>21720</v>
      </c>
      <c r="E43" s="12" t="s">
        <v>1650</v>
      </c>
    </row>
    <row r="44" spans="2:5">
      <c r="B44" s="25" t="s">
        <v>1593</v>
      </c>
      <c r="C44" s="11">
        <v>65860.5</v>
      </c>
      <c r="D44" s="13">
        <v>60750</v>
      </c>
      <c r="E44" s="12" t="s">
        <v>1650</v>
      </c>
    </row>
    <row r="45" spans="2:5">
      <c r="B45" s="27" t="s">
        <v>1670</v>
      </c>
      <c r="C45" s="2">
        <v>433</v>
      </c>
      <c r="D45" s="2">
        <v>413.85</v>
      </c>
      <c r="E45" s="1" t="s">
        <v>490</v>
      </c>
    </row>
    <row r="46" spans="2:5">
      <c r="B46" s="25" t="s">
        <v>1594</v>
      </c>
      <c r="C46" s="11">
        <v>1619.73</v>
      </c>
      <c r="D46" s="13">
        <v>1821.6</v>
      </c>
      <c r="E46" s="12" t="s">
        <v>1650</v>
      </c>
    </row>
    <row r="47" spans="2:5">
      <c r="B47" s="25" t="s">
        <v>1595</v>
      </c>
      <c r="C47" s="11">
        <v>107880</v>
      </c>
      <c r="D47" s="13">
        <v>169900</v>
      </c>
      <c r="E47" s="12" t="s">
        <v>1650</v>
      </c>
    </row>
    <row r="48" spans="2:5">
      <c r="B48" s="27" t="s">
        <v>1671</v>
      </c>
      <c r="C48" s="2">
        <v>186050</v>
      </c>
      <c r="D48" s="2">
        <v>176950</v>
      </c>
      <c r="E48" s="1" t="s">
        <v>490</v>
      </c>
    </row>
    <row r="49" spans="2:5">
      <c r="B49" s="25" t="s">
        <v>626</v>
      </c>
      <c r="C49" s="11">
        <v>36509.199999999997</v>
      </c>
      <c r="D49" s="13">
        <v>36185</v>
      </c>
      <c r="E49" s="12" t="s">
        <v>1650</v>
      </c>
    </row>
    <row r="50" spans="2:5">
      <c r="B50" s="25" t="s">
        <v>612</v>
      </c>
      <c r="C50" s="11">
        <v>7512.4</v>
      </c>
      <c r="D50" s="13">
        <v>7038</v>
      </c>
      <c r="E50" s="12" t="s">
        <v>1650</v>
      </c>
    </row>
    <row r="51" spans="2:5">
      <c r="B51" s="26" t="s">
        <v>612</v>
      </c>
      <c r="C51" s="17">
        <v>9309.5</v>
      </c>
      <c r="D51" s="17">
        <v>8797.5</v>
      </c>
      <c r="E51" s="16" t="s">
        <v>507</v>
      </c>
    </row>
    <row r="52" spans="2:5">
      <c r="B52" s="25" t="s">
        <v>1597</v>
      </c>
      <c r="C52" s="11">
        <v>196.7</v>
      </c>
      <c r="D52" s="13">
        <v>193.54</v>
      </c>
      <c r="E52" s="12" t="s">
        <v>1650</v>
      </c>
    </row>
    <row r="53" spans="2:5">
      <c r="B53" s="26" t="s">
        <v>1454</v>
      </c>
      <c r="C53" s="17">
        <v>92750</v>
      </c>
      <c r="D53" s="17">
        <v>92062.5</v>
      </c>
      <c r="E53" s="16" t="s">
        <v>507</v>
      </c>
    </row>
    <row r="54" spans="2:5">
      <c r="B54" s="26" t="s">
        <v>541</v>
      </c>
      <c r="C54" s="17">
        <v>24590</v>
      </c>
      <c r="D54" s="17">
        <v>23815</v>
      </c>
      <c r="E54" s="16" t="s">
        <v>507</v>
      </c>
    </row>
    <row r="55" spans="2:5">
      <c r="B55" s="25" t="s">
        <v>1598</v>
      </c>
      <c r="C55" s="11">
        <v>1179.07</v>
      </c>
      <c r="D55" s="13">
        <v>1223.3499999999999</v>
      </c>
      <c r="E55" s="12" t="s">
        <v>1650</v>
      </c>
    </row>
    <row r="56" spans="2:5">
      <c r="B56" s="25" t="s">
        <v>1657</v>
      </c>
      <c r="C56" s="11">
        <v>1983.03</v>
      </c>
      <c r="D56" s="13">
        <v>2019.13</v>
      </c>
      <c r="E56" s="12" t="s">
        <v>1650</v>
      </c>
    </row>
    <row r="57" spans="2:5">
      <c r="B57" s="24" t="s">
        <v>1599</v>
      </c>
      <c r="C57" s="8">
        <v>2142.6</v>
      </c>
      <c r="D57" s="8">
        <v>2184.6</v>
      </c>
      <c r="E57" s="9" t="s">
        <v>1637</v>
      </c>
    </row>
    <row r="58" spans="2:5">
      <c r="B58" s="25" t="s">
        <v>1599</v>
      </c>
      <c r="C58" s="11">
        <v>7562</v>
      </c>
      <c r="D58" s="13">
        <v>7282</v>
      </c>
      <c r="E58" s="12" t="s">
        <v>1650</v>
      </c>
    </row>
    <row r="59" spans="2:5">
      <c r="B59" s="26" t="s">
        <v>1599</v>
      </c>
      <c r="C59" s="17">
        <v>36746.400000000001</v>
      </c>
      <c r="D59" s="17">
        <v>36570.699999999997</v>
      </c>
      <c r="E59" s="16" t="s">
        <v>507</v>
      </c>
    </row>
    <row r="60" spans="2:5">
      <c r="B60" s="25" t="s">
        <v>1600</v>
      </c>
      <c r="C60" s="11">
        <v>11741.4</v>
      </c>
      <c r="D60" s="13">
        <v>11000</v>
      </c>
      <c r="E60" s="12" t="s">
        <v>1650</v>
      </c>
    </row>
    <row r="61" spans="2:5">
      <c r="B61" s="26" t="s">
        <v>1600</v>
      </c>
      <c r="C61" s="17">
        <v>5881</v>
      </c>
      <c r="D61" s="17">
        <v>5500</v>
      </c>
      <c r="E61" s="16" t="s">
        <v>507</v>
      </c>
    </row>
    <row r="62" spans="2:5">
      <c r="B62" s="27" t="s">
        <v>1672</v>
      </c>
      <c r="C62" s="2">
        <v>758.8</v>
      </c>
      <c r="D62" s="2">
        <v>713.9</v>
      </c>
      <c r="E62" s="1" t="s">
        <v>490</v>
      </c>
    </row>
    <row r="63" spans="2:5">
      <c r="B63" s="24" t="s">
        <v>54</v>
      </c>
      <c r="C63" s="8">
        <v>27615.17</v>
      </c>
      <c r="D63" s="8">
        <v>25571.9</v>
      </c>
      <c r="E63" s="9" t="s">
        <v>1637</v>
      </c>
    </row>
    <row r="64" spans="2:5">
      <c r="B64" s="26" t="s">
        <v>1601</v>
      </c>
      <c r="C64" s="17">
        <v>13526.1</v>
      </c>
      <c r="D64" s="17">
        <v>12513.6</v>
      </c>
      <c r="E64" s="16" t="s">
        <v>507</v>
      </c>
    </row>
    <row r="65" spans="2:5">
      <c r="B65" s="25" t="s">
        <v>564</v>
      </c>
      <c r="C65" s="11">
        <v>412967.76</v>
      </c>
      <c r="D65" s="13">
        <v>319728.8</v>
      </c>
      <c r="E65" s="12" t="s">
        <v>1650</v>
      </c>
    </row>
    <row r="66" spans="2:5">
      <c r="B66" s="26" t="s">
        <v>629</v>
      </c>
      <c r="C66" s="17">
        <v>61428</v>
      </c>
      <c r="D66" s="17">
        <v>61717.5</v>
      </c>
      <c r="E66" s="16" t="s">
        <v>507</v>
      </c>
    </row>
    <row r="67" spans="2:5">
      <c r="B67" s="27" t="s">
        <v>1673</v>
      </c>
      <c r="C67" s="2">
        <v>12600</v>
      </c>
      <c r="D67" s="2">
        <v>12397.5</v>
      </c>
      <c r="E67" s="1" t="s">
        <v>490</v>
      </c>
    </row>
    <row r="68" spans="2:5">
      <c r="B68" s="27" t="s">
        <v>1674</v>
      </c>
      <c r="C68" s="2">
        <v>3689.5</v>
      </c>
      <c r="D68" s="2">
        <v>3510</v>
      </c>
      <c r="E68" s="1" t="s">
        <v>490</v>
      </c>
    </row>
    <row r="69" spans="2:5">
      <c r="B69" s="26" t="s">
        <v>1602</v>
      </c>
      <c r="C69" s="17">
        <v>55586.25</v>
      </c>
      <c r="D69" s="17">
        <v>51667.5</v>
      </c>
      <c r="E69" s="16" t="s">
        <v>507</v>
      </c>
    </row>
    <row r="70" spans="2:5">
      <c r="B70" s="25" t="s">
        <v>1603</v>
      </c>
      <c r="C70" s="11">
        <v>103830</v>
      </c>
      <c r="D70" s="13">
        <v>94320</v>
      </c>
      <c r="E70" s="12" t="s">
        <v>1650</v>
      </c>
    </row>
    <row r="71" spans="2:5">
      <c r="B71" s="27" t="s">
        <v>1675</v>
      </c>
      <c r="C71" s="2">
        <v>1421</v>
      </c>
      <c r="D71" s="2">
        <v>1393.85</v>
      </c>
      <c r="E71" s="1" t="s">
        <v>490</v>
      </c>
    </row>
    <row r="72" spans="2:5">
      <c r="B72" s="24" t="s">
        <v>592</v>
      </c>
      <c r="C72" s="8">
        <v>11124.24</v>
      </c>
      <c r="D72" s="8">
        <v>10628.4</v>
      </c>
      <c r="E72" s="9" t="s">
        <v>1637</v>
      </c>
    </row>
    <row r="73" spans="2:5">
      <c r="B73" s="25" t="s">
        <v>592</v>
      </c>
      <c r="C73" s="11">
        <v>1445.91</v>
      </c>
      <c r="D73" s="13">
        <v>1328.55</v>
      </c>
      <c r="E73" s="12" t="s">
        <v>1650</v>
      </c>
    </row>
    <row r="74" spans="2:5">
      <c r="B74" s="26" t="s">
        <v>592</v>
      </c>
      <c r="C74" s="17">
        <v>27680</v>
      </c>
      <c r="D74" s="17">
        <v>26571</v>
      </c>
      <c r="E74" s="16" t="s">
        <v>507</v>
      </c>
    </row>
    <row r="75" spans="2:5">
      <c r="B75" s="25" t="s">
        <v>1604</v>
      </c>
      <c r="C75" s="11">
        <v>1396.94</v>
      </c>
      <c r="D75" s="13">
        <v>1402.5</v>
      </c>
      <c r="E75" s="12" t="s">
        <v>1650</v>
      </c>
    </row>
    <row r="76" spans="2:5">
      <c r="B76" s="25" t="s">
        <v>1605</v>
      </c>
      <c r="C76" s="11">
        <v>22553.7</v>
      </c>
      <c r="D76" s="13">
        <v>22707.1</v>
      </c>
      <c r="E76" s="12" t="s">
        <v>1650</v>
      </c>
    </row>
    <row r="77" spans="2:5">
      <c r="B77" s="26" t="s">
        <v>1605</v>
      </c>
      <c r="C77" s="17">
        <v>17239.650000000001</v>
      </c>
      <c r="D77" s="17">
        <v>16544.25</v>
      </c>
      <c r="E77" s="16" t="s">
        <v>507</v>
      </c>
    </row>
    <row r="78" spans="2:5">
      <c r="B78" s="24" t="s">
        <v>600</v>
      </c>
      <c r="C78" s="8">
        <v>4922.5</v>
      </c>
      <c r="D78" s="8">
        <v>3009</v>
      </c>
      <c r="E78" s="9" t="s">
        <v>1637</v>
      </c>
    </row>
    <row r="79" spans="2:5">
      <c r="B79" s="25" t="s">
        <v>600</v>
      </c>
      <c r="C79" s="11">
        <v>247092.95</v>
      </c>
      <c r="D79" s="13">
        <v>145936.5</v>
      </c>
      <c r="E79" s="12" t="s">
        <v>1650</v>
      </c>
    </row>
    <row r="80" spans="2:5">
      <c r="B80" s="25" t="s">
        <v>613</v>
      </c>
      <c r="C80" s="11">
        <v>13648.5</v>
      </c>
      <c r="D80" s="13">
        <v>12040</v>
      </c>
      <c r="E80" s="12" t="s">
        <v>1650</v>
      </c>
    </row>
    <row r="81" spans="2:5">
      <c r="B81" s="27" t="s">
        <v>1676</v>
      </c>
      <c r="C81" s="2">
        <v>27370</v>
      </c>
      <c r="D81" s="2">
        <v>29012</v>
      </c>
      <c r="E81" s="1" t="s">
        <v>490</v>
      </c>
    </row>
    <row r="82" spans="2:5">
      <c r="B82" s="24" t="s">
        <v>1658</v>
      </c>
      <c r="C82" s="8">
        <v>26316</v>
      </c>
      <c r="D82" s="8">
        <v>27804</v>
      </c>
      <c r="E82" s="9" t="s">
        <v>1637</v>
      </c>
    </row>
    <row r="83" spans="2:5">
      <c r="B83" s="25" t="s">
        <v>1658</v>
      </c>
      <c r="C83" s="11">
        <v>66665.53</v>
      </c>
      <c r="D83" s="13">
        <v>70413.63</v>
      </c>
      <c r="E83" s="12" t="s">
        <v>1650</v>
      </c>
    </row>
    <row r="84" spans="2:5">
      <c r="B84" s="26" t="s">
        <v>601</v>
      </c>
      <c r="C84" s="17">
        <v>25802.52</v>
      </c>
      <c r="D84" s="17">
        <v>25524.799999999999</v>
      </c>
      <c r="E84" s="16" t="s">
        <v>507</v>
      </c>
    </row>
    <row r="85" spans="2:5">
      <c r="B85" s="24" t="s">
        <v>1686</v>
      </c>
      <c r="C85" s="8">
        <v>6216</v>
      </c>
      <c r="D85" s="8">
        <v>4557</v>
      </c>
      <c r="E85" s="9" t="s">
        <v>1637</v>
      </c>
    </row>
    <row r="86" spans="2:5">
      <c r="B86" s="26" t="s">
        <v>1607</v>
      </c>
      <c r="C86" s="17">
        <v>25184</v>
      </c>
      <c r="D86" s="17">
        <v>25000</v>
      </c>
      <c r="E86" s="16" t="s">
        <v>507</v>
      </c>
    </row>
    <row r="87" spans="2:5">
      <c r="B87" s="25" t="s">
        <v>194</v>
      </c>
      <c r="C87" s="11">
        <v>209740</v>
      </c>
      <c r="D87" s="13">
        <v>167500</v>
      </c>
      <c r="E87" s="12" t="s">
        <v>1650</v>
      </c>
    </row>
    <row r="88" spans="2:5">
      <c r="B88" s="25" t="s">
        <v>1456</v>
      </c>
      <c r="C88" s="11">
        <v>87142.55</v>
      </c>
      <c r="D88" s="13">
        <v>99339.5</v>
      </c>
      <c r="E88" s="12" t="s">
        <v>1650</v>
      </c>
    </row>
    <row r="89" spans="2:5">
      <c r="B89" s="26" t="s">
        <v>1456</v>
      </c>
      <c r="C89" s="17">
        <v>69394.45</v>
      </c>
      <c r="D89" s="17">
        <v>73703.5</v>
      </c>
      <c r="E89" s="16" t="s">
        <v>507</v>
      </c>
    </row>
    <row r="90" spans="2:5">
      <c r="B90" s="25" t="s">
        <v>1660</v>
      </c>
      <c r="C90" s="11">
        <v>7320.4</v>
      </c>
      <c r="D90" s="13">
        <v>7015</v>
      </c>
      <c r="E90" s="12" t="s">
        <v>1650</v>
      </c>
    </row>
    <row r="91" spans="2:5">
      <c r="B91" s="25" t="s">
        <v>1609</v>
      </c>
      <c r="C91" s="11">
        <v>633.96</v>
      </c>
      <c r="D91" s="13">
        <v>625</v>
      </c>
      <c r="E91" s="12" t="s">
        <v>1650</v>
      </c>
    </row>
    <row r="92" spans="2:5">
      <c r="B92" s="25" t="s">
        <v>595</v>
      </c>
      <c r="C92" s="11">
        <v>213855</v>
      </c>
      <c r="D92" s="13">
        <v>200064.4</v>
      </c>
      <c r="E92" s="12" t="s">
        <v>1650</v>
      </c>
    </row>
    <row r="93" spans="2:5">
      <c r="B93" s="24" t="s">
        <v>1687</v>
      </c>
      <c r="C93" s="8">
        <v>9140.8799999999992</v>
      </c>
      <c r="D93" s="8">
        <v>8732.4</v>
      </c>
      <c r="E93" s="9" t="s">
        <v>1637</v>
      </c>
    </row>
    <row r="94" spans="2:5">
      <c r="B94" s="25" t="s">
        <v>203</v>
      </c>
      <c r="C94" s="11">
        <v>18937.32</v>
      </c>
      <c r="D94" s="13">
        <v>17934.150000000001</v>
      </c>
      <c r="E94" s="12" t="s">
        <v>1650</v>
      </c>
    </row>
    <row r="95" spans="2:5">
      <c r="B95" s="26" t="s">
        <v>203</v>
      </c>
      <c r="C95" s="17">
        <v>37284</v>
      </c>
      <c r="D95" s="17">
        <v>35050</v>
      </c>
      <c r="E95" s="16" t="s">
        <v>507</v>
      </c>
    </row>
    <row r="96" spans="2:5">
      <c r="B96" s="27" t="s">
        <v>1677</v>
      </c>
      <c r="C96" s="2">
        <v>31895</v>
      </c>
      <c r="D96" s="2">
        <v>32241</v>
      </c>
      <c r="E96" s="1" t="s">
        <v>490</v>
      </c>
    </row>
    <row r="97" spans="2:5">
      <c r="B97" s="26" t="s">
        <v>634</v>
      </c>
      <c r="C97" s="17">
        <v>75944.7</v>
      </c>
      <c r="D97" s="17">
        <v>76245</v>
      </c>
      <c r="E97" s="16" t="s">
        <v>507</v>
      </c>
    </row>
    <row r="98" spans="2:5">
      <c r="B98" s="25" t="s">
        <v>588</v>
      </c>
      <c r="C98" s="11">
        <v>271.7</v>
      </c>
      <c r="D98" s="13">
        <v>250.8</v>
      </c>
      <c r="E98" s="12" t="s">
        <v>1650</v>
      </c>
    </row>
    <row r="99" spans="2:5">
      <c r="B99" s="27" t="s">
        <v>1678</v>
      </c>
      <c r="C99" s="2">
        <v>21401.599999999999</v>
      </c>
      <c r="D99" s="2">
        <v>20974.6</v>
      </c>
      <c r="E99" s="1" t="s">
        <v>490</v>
      </c>
    </row>
    <row r="100" spans="2:5">
      <c r="B100" s="27" t="s">
        <v>1679</v>
      </c>
      <c r="C100" s="2">
        <v>90227</v>
      </c>
      <c r="D100" s="2">
        <v>88467.199999999997</v>
      </c>
      <c r="E100" s="1" t="s">
        <v>490</v>
      </c>
    </row>
    <row r="101" spans="2:5">
      <c r="B101" s="25" t="s">
        <v>1614</v>
      </c>
      <c r="C101" s="11">
        <v>8420.7999999999993</v>
      </c>
      <c r="D101" s="13">
        <v>9450</v>
      </c>
      <c r="E101" s="12" t="s">
        <v>1650</v>
      </c>
    </row>
    <row r="102" spans="2:5">
      <c r="B102" s="26" t="s">
        <v>1614</v>
      </c>
      <c r="C102" s="17">
        <v>11711.1</v>
      </c>
      <c r="D102" s="17">
        <v>11340</v>
      </c>
      <c r="E102" s="16" t="s">
        <v>507</v>
      </c>
    </row>
    <row r="103" spans="2:5">
      <c r="B103" s="25" t="s">
        <v>1615</v>
      </c>
      <c r="C103" s="11">
        <v>256910</v>
      </c>
      <c r="D103" s="13">
        <v>311450</v>
      </c>
      <c r="E103" s="12" t="s">
        <v>1650</v>
      </c>
    </row>
    <row r="104" spans="2:5">
      <c r="B104" s="25" t="s">
        <v>1616</v>
      </c>
      <c r="C104" s="11">
        <v>7339.98</v>
      </c>
      <c r="D104" s="13">
        <v>7003.8</v>
      </c>
      <c r="E104" s="12" t="s">
        <v>1650</v>
      </c>
    </row>
    <row r="105" spans="2:5">
      <c r="B105" s="25" t="s">
        <v>207</v>
      </c>
      <c r="C105" s="11">
        <v>171496.72</v>
      </c>
      <c r="D105" s="13">
        <v>149129.60000000001</v>
      </c>
      <c r="E105" s="12" t="s">
        <v>1650</v>
      </c>
    </row>
    <row r="106" spans="2:5">
      <c r="B106" s="25" t="s">
        <v>1617</v>
      </c>
      <c r="C106" s="11">
        <v>38265.4</v>
      </c>
      <c r="D106" s="13">
        <v>34902.75</v>
      </c>
      <c r="E106" s="12" t="s">
        <v>1650</v>
      </c>
    </row>
    <row r="107" spans="2:5">
      <c r="B107" s="27" t="s">
        <v>1680</v>
      </c>
      <c r="C107" s="2">
        <v>35486.85</v>
      </c>
      <c r="D107" s="2">
        <v>29859.3</v>
      </c>
      <c r="E107" s="1" t="s">
        <v>490</v>
      </c>
    </row>
    <row r="108" spans="2:5">
      <c r="B108" s="25" t="s">
        <v>636</v>
      </c>
      <c r="C108" s="11">
        <v>63942.45</v>
      </c>
      <c r="D108" s="13">
        <v>52006.35</v>
      </c>
      <c r="E108" s="12" t="s">
        <v>1650</v>
      </c>
    </row>
    <row r="109" spans="2:5">
      <c r="B109" s="26" t="s">
        <v>636</v>
      </c>
      <c r="C109" s="17">
        <v>101567.73</v>
      </c>
      <c r="D109" s="17">
        <v>89829.15</v>
      </c>
      <c r="E109" s="16" t="s">
        <v>507</v>
      </c>
    </row>
    <row r="110" spans="2:5">
      <c r="B110" s="25" t="s">
        <v>1619</v>
      </c>
      <c r="C110" s="11">
        <v>27021</v>
      </c>
      <c r="D110" s="13">
        <v>33126</v>
      </c>
      <c r="E110" s="12" t="s">
        <v>1650</v>
      </c>
    </row>
    <row r="111" spans="2:5">
      <c r="B111" s="27" t="s">
        <v>1681</v>
      </c>
      <c r="C111" s="2">
        <v>23280</v>
      </c>
      <c r="D111" s="2">
        <v>23019</v>
      </c>
      <c r="E111" s="1" t="s">
        <v>490</v>
      </c>
    </row>
    <row r="112" spans="2:5">
      <c r="B112" s="24" t="s">
        <v>1459</v>
      </c>
      <c r="C112" s="8">
        <v>809.42</v>
      </c>
      <c r="D112" s="8">
        <v>739.2</v>
      </c>
      <c r="E112" s="9" t="s">
        <v>1637</v>
      </c>
    </row>
    <row r="113" spans="2:5">
      <c r="B113" s="25" t="s">
        <v>1459</v>
      </c>
      <c r="C113" s="11">
        <v>19406</v>
      </c>
      <c r="D113" s="13">
        <v>18480</v>
      </c>
      <c r="E113" s="12" t="s">
        <v>1650</v>
      </c>
    </row>
    <row r="114" spans="2:5">
      <c r="B114" s="26" t="s">
        <v>1459</v>
      </c>
      <c r="C114" s="17">
        <v>20181.5</v>
      </c>
      <c r="D114" s="17">
        <v>18480</v>
      </c>
      <c r="E114" s="16" t="s">
        <v>507</v>
      </c>
    </row>
    <row r="115" spans="2:5">
      <c r="B115" s="27" t="s">
        <v>1682</v>
      </c>
      <c r="C115" s="2">
        <v>1282</v>
      </c>
      <c r="D115" s="2">
        <v>1246.1500000000001</v>
      </c>
      <c r="E115" s="1" t="s">
        <v>490</v>
      </c>
    </row>
    <row r="116" spans="2:5">
      <c r="B116" s="25" t="s">
        <v>594</v>
      </c>
      <c r="C116" s="11">
        <v>2388.44</v>
      </c>
      <c r="D116" s="13">
        <v>1848.45</v>
      </c>
      <c r="E116" s="12" t="s">
        <v>1650</v>
      </c>
    </row>
    <row r="117" spans="2:5">
      <c r="B117" s="25" t="s">
        <v>222</v>
      </c>
      <c r="C117" s="11">
        <v>74921.399999999994</v>
      </c>
      <c r="D117" s="13">
        <v>73467</v>
      </c>
      <c r="E117" s="12" t="s">
        <v>1650</v>
      </c>
    </row>
    <row r="118" spans="2:5">
      <c r="B118" s="26" t="s">
        <v>222</v>
      </c>
      <c r="C118" s="17">
        <v>65750</v>
      </c>
      <c r="D118" s="17">
        <v>61222.5</v>
      </c>
      <c r="E118" s="16" t="s">
        <v>507</v>
      </c>
    </row>
    <row r="119" spans="2:5">
      <c r="B119" s="25" t="s">
        <v>330</v>
      </c>
      <c r="C119" s="11">
        <v>591.99</v>
      </c>
      <c r="D119" s="13">
        <v>655.4</v>
      </c>
      <c r="E119" s="12" t="s">
        <v>1650</v>
      </c>
    </row>
    <row r="120" spans="2:5">
      <c r="B120" s="27" t="s">
        <v>1683</v>
      </c>
      <c r="C120" s="2">
        <v>5468</v>
      </c>
      <c r="D120" s="2">
        <v>5570.4</v>
      </c>
      <c r="E120" s="1" t="s">
        <v>490</v>
      </c>
    </row>
    <row r="121" spans="2:5">
      <c r="B121" s="26" t="s">
        <v>1461</v>
      </c>
      <c r="C121" s="17">
        <v>147286.07999999999</v>
      </c>
      <c r="D121" s="17">
        <v>148748.4</v>
      </c>
      <c r="E121" s="16" t="s">
        <v>507</v>
      </c>
    </row>
    <row r="122" spans="2:5">
      <c r="B122" s="24" t="s">
        <v>1623</v>
      </c>
      <c r="C122" s="8">
        <v>21702</v>
      </c>
      <c r="D122" s="8">
        <v>21382</v>
      </c>
      <c r="E122" s="9" t="s">
        <v>1637</v>
      </c>
    </row>
    <row r="123" spans="2:5">
      <c r="B123" s="26" t="s">
        <v>1623</v>
      </c>
      <c r="C123" s="17">
        <v>56150</v>
      </c>
      <c r="D123" s="17">
        <v>53455</v>
      </c>
      <c r="E123" s="16" t="s">
        <v>507</v>
      </c>
    </row>
    <row r="125" spans="2:5">
      <c r="C125" s="5">
        <f>SUM(C2:C124)</f>
        <v>6226036.2100000018</v>
      </c>
      <c r="D125" s="5">
        <f>SUM(D2:D124)</f>
        <v>6193042.410000002</v>
      </c>
      <c r="E125" s="6">
        <f>D125-C125</f>
        <v>-32993.799999999814</v>
      </c>
    </row>
  </sheetData>
  <sortState xmlns:xlrd2="http://schemas.microsoft.com/office/spreadsheetml/2017/richdata2" ref="B2:E126">
    <sortCondition ref="B1:B126"/>
  </sortState>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7679B-D5B3-4959-B103-6037D216C35B}">
  <sheetPr filterMode="1"/>
  <dimension ref="A1:K72"/>
  <sheetViews>
    <sheetView workbookViewId="0">
      <selection activeCell="G34" sqref="G34"/>
    </sheetView>
  </sheetViews>
  <sheetFormatPr defaultRowHeight="14.45"/>
  <cols>
    <col min="1" max="1" width="36.28515625" customWidth="1"/>
    <col min="7" max="7" width="15.7109375" customWidth="1"/>
    <col min="8" max="8" width="19.7109375" customWidth="1"/>
    <col min="9" max="9" width="20.7109375" customWidth="1"/>
    <col min="10" max="10" width="12.7109375" customWidth="1"/>
    <col min="11" max="11" width="51.7109375" customWidth="1"/>
  </cols>
  <sheetData>
    <row r="1" spans="1:11">
      <c r="A1" s="1326" t="s">
        <v>1</v>
      </c>
      <c r="B1" s="1326" t="s">
        <v>1688</v>
      </c>
      <c r="C1" s="90" t="s">
        <v>1689</v>
      </c>
      <c r="D1" s="90" t="s">
        <v>1690</v>
      </c>
      <c r="E1" s="90" t="s">
        <v>1691</v>
      </c>
      <c r="F1" s="91" t="s">
        <v>1692</v>
      </c>
      <c r="G1" s="90" t="s">
        <v>1693</v>
      </c>
      <c r="H1" s="92" t="s">
        <v>1694</v>
      </c>
      <c r="I1" s="92" t="s">
        <v>1695</v>
      </c>
      <c r="J1" s="92" t="s">
        <v>1696</v>
      </c>
      <c r="K1" s="375" t="s">
        <v>1697</v>
      </c>
    </row>
    <row r="2" spans="1:11">
      <c r="A2" s="1327" t="s">
        <v>905</v>
      </c>
      <c r="B2" s="224" t="s">
        <v>1698</v>
      </c>
      <c r="C2" s="224" t="s">
        <v>1699</v>
      </c>
      <c r="D2" s="224" t="s">
        <v>1699</v>
      </c>
      <c r="E2" s="224" t="s">
        <v>1699</v>
      </c>
      <c r="F2" s="224" t="s">
        <v>1699</v>
      </c>
      <c r="G2" s="1328" t="s">
        <v>1700</v>
      </c>
      <c r="H2" s="93" t="s">
        <v>1701</v>
      </c>
      <c r="I2" s="88" t="s">
        <v>35</v>
      </c>
      <c r="J2" s="83"/>
    </row>
    <row r="3" spans="1:11">
      <c r="A3" s="1329" t="s">
        <v>356</v>
      </c>
      <c r="B3" s="539" t="s">
        <v>1702</v>
      </c>
      <c r="C3" s="539" t="s">
        <v>1699</v>
      </c>
      <c r="D3" s="539" t="s">
        <v>1699</v>
      </c>
      <c r="E3" s="539" t="s">
        <v>1699</v>
      </c>
      <c r="F3" s="539" t="s">
        <v>1699</v>
      </c>
      <c r="G3" s="539" t="s">
        <v>1699</v>
      </c>
      <c r="H3" s="94" t="s">
        <v>1703</v>
      </c>
      <c r="I3" s="84"/>
      <c r="J3" s="174" t="s">
        <v>35</v>
      </c>
    </row>
    <row r="4" spans="1:11" hidden="1">
      <c r="A4" s="1330" t="s">
        <v>354</v>
      </c>
      <c r="B4" s="1331" t="s">
        <v>1698</v>
      </c>
      <c r="C4" s="1331" t="s">
        <v>1699</v>
      </c>
      <c r="D4" s="1331" t="s">
        <v>1699</v>
      </c>
      <c r="E4" s="1331" t="s">
        <v>1699</v>
      </c>
      <c r="F4" s="1332" t="s">
        <v>1700</v>
      </c>
      <c r="G4" s="1333" t="s">
        <v>1699</v>
      </c>
      <c r="H4" s="186"/>
      <c r="I4" s="258"/>
      <c r="J4" s="174"/>
    </row>
    <row r="5" spans="1:11">
      <c r="A5" s="84" t="s">
        <v>1704</v>
      </c>
      <c r="B5" s="224" t="s">
        <v>1698</v>
      </c>
      <c r="C5" s="224" t="s">
        <v>1699</v>
      </c>
      <c r="D5" s="1328" t="s">
        <v>1700</v>
      </c>
      <c r="E5" s="224" t="s">
        <v>1699</v>
      </c>
      <c r="F5" s="224" t="s">
        <v>1699</v>
      </c>
      <c r="G5" s="224" t="s">
        <v>1699</v>
      </c>
      <c r="H5" s="93" t="s">
        <v>1705</v>
      </c>
      <c r="I5" s="84"/>
      <c r="J5" s="83"/>
    </row>
    <row r="6" spans="1:11" hidden="1">
      <c r="A6" s="84" t="s">
        <v>1706</v>
      </c>
      <c r="B6" s="224" t="s">
        <v>1698</v>
      </c>
      <c r="C6" s="224" t="s">
        <v>1699</v>
      </c>
      <c r="D6" s="1328" t="s">
        <v>1700</v>
      </c>
      <c r="E6" s="224" t="s">
        <v>1699</v>
      </c>
      <c r="F6" s="224" t="s">
        <v>1699</v>
      </c>
      <c r="G6" s="224" t="s">
        <v>1699</v>
      </c>
      <c r="H6" s="93"/>
      <c r="I6" s="84"/>
      <c r="J6" s="83"/>
    </row>
    <row r="7" spans="1:11" hidden="1">
      <c r="A7" s="84" t="s">
        <v>359</v>
      </c>
      <c r="B7" s="539" t="s">
        <v>1702</v>
      </c>
      <c r="C7" s="539" t="s">
        <v>1699</v>
      </c>
      <c r="D7" s="539" t="s">
        <v>1699</v>
      </c>
      <c r="E7" s="539" t="s">
        <v>1699</v>
      </c>
      <c r="F7" s="539" t="s">
        <v>1699</v>
      </c>
      <c r="G7" s="539" t="s">
        <v>1699</v>
      </c>
      <c r="H7" s="93"/>
      <c r="I7" s="84"/>
      <c r="J7" s="83"/>
    </row>
    <row r="8" spans="1:11">
      <c r="A8" s="84" t="s">
        <v>1707</v>
      </c>
      <c r="B8" s="224" t="s">
        <v>1698</v>
      </c>
      <c r="C8" s="224" t="s">
        <v>1699</v>
      </c>
      <c r="D8" s="224" t="s">
        <v>1699</v>
      </c>
      <c r="E8" s="224" t="s">
        <v>1699</v>
      </c>
      <c r="F8" s="224" t="s">
        <v>1699</v>
      </c>
      <c r="G8" s="1328" t="s">
        <v>1700</v>
      </c>
      <c r="H8" s="93" t="s">
        <v>1708</v>
      </c>
      <c r="I8" s="84"/>
      <c r="J8" s="83"/>
    </row>
    <row r="9" spans="1:11">
      <c r="A9" s="84" t="s">
        <v>928</v>
      </c>
      <c r="B9" s="224" t="s">
        <v>1698</v>
      </c>
      <c r="C9" s="224" t="s">
        <v>1699</v>
      </c>
      <c r="D9" s="224" t="s">
        <v>1699</v>
      </c>
      <c r="E9" s="224" t="s">
        <v>1699</v>
      </c>
      <c r="F9" s="224" t="s">
        <v>1699</v>
      </c>
      <c r="G9" s="1328" t="s">
        <v>1700</v>
      </c>
      <c r="H9" s="93" t="s">
        <v>1705</v>
      </c>
      <c r="I9" s="84"/>
      <c r="J9" s="83"/>
    </row>
    <row r="10" spans="1:11">
      <c r="A10" s="172" t="s">
        <v>41</v>
      </c>
      <c r="B10" s="539" t="s">
        <v>1702</v>
      </c>
      <c r="C10" s="539" t="s">
        <v>1699</v>
      </c>
      <c r="D10" s="539" t="s">
        <v>1699</v>
      </c>
      <c r="E10" s="539" t="s">
        <v>1699</v>
      </c>
      <c r="F10" s="539" t="s">
        <v>1699</v>
      </c>
      <c r="G10" s="539" t="s">
        <v>1699</v>
      </c>
      <c r="H10" s="95" t="s">
        <v>1709</v>
      </c>
      <c r="I10" s="84"/>
      <c r="J10" s="174" t="s">
        <v>35</v>
      </c>
    </row>
    <row r="11" spans="1:11">
      <c r="A11" s="84" t="s">
        <v>930</v>
      </c>
      <c r="B11" s="224" t="s">
        <v>1698</v>
      </c>
      <c r="C11" s="224" t="s">
        <v>1699</v>
      </c>
      <c r="D11" s="1328" t="s">
        <v>1700</v>
      </c>
      <c r="E11" s="224" t="s">
        <v>1699</v>
      </c>
      <c r="F11" s="224" t="s">
        <v>1699</v>
      </c>
      <c r="G11" s="224" t="s">
        <v>1699</v>
      </c>
      <c r="H11" s="93" t="s">
        <v>1708</v>
      </c>
      <c r="I11" s="84"/>
      <c r="J11" s="83"/>
    </row>
    <row r="12" spans="1:11">
      <c r="A12" s="84" t="s">
        <v>38</v>
      </c>
      <c r="B12" s="224" t="s">
        <v>1698</v>
      </c>
      <c r="C12" s="224" t="s">
        <v>1699</v>
      </c>
      <c r="D12" s="1328" t="s">
        <v>1700</v>
      </c>
      <c r="E12" s="224" t="s">
        <v>1699</v>
      </c>
      <c r="F12" s="224" t="s">
        <v>1699</v>
      </c>
      <c r="G12" s="224" t="s">
        <v>1699</v>
      </c>
      <c r="H12" s="93" t="s">
        <v>1708</v>
      </c>
      <c r="I12" s="84"/>
      <c r="J12" s="83"/>
    </row>
    <row r="13" spans="1:11" hidden="1">
      <c r="A13" s="88" t="s">
        <v>1710</v>
      </c>
      <c r="B13" s="1334" t="s">
        <v>1698</v>
      </c>
      <c r="C13" s="1334" t="s">
        <v>1699</v>
      </c>
      <c r="D13" s="1334" t="s">
        <v>1699</v>
      </c>
      <c r="E13" s="1332" t="s">
        <v>1700</v>
      </c>
      <c r="F13" s="1334" t="s">
        <v>1699</v>
      </c>
      <c r="G13" s="1334" t="s">
        <v>1699</v>
      </c>
      <c r="H13" s="352"/>
      <c r="I13" s="88"/>
      <c r="J13" s="83"/>
    </row>
    <row r="14" spans="1:11" hidden="1">
      <c r="A14" s="88" t="s">
        <v>1711</v>
      </c>
      <c r="B14" s="1334"/>
      <c r="C14" s="1334"/>
      <c r="D14" s="1334"/>
      <c r="E14" s="1332"/>
      <c r="F14" s="1334"/>
      <c r="G14" s="1334"/>
      <c r="H14" s="352"/>
      <c r="I14" s="88"/>
      <c r="J14" s="83"/>
    </row>
    <row r="15" spans="1:11" hidden="1">
      <c r="A15" s="88" t="s">
        <v>1712</v>
      </c>
      <c r="B15" s="539" t="s">
        <v>1702</v>
      </c>
      <c r="C15" s="539" t="s">
        <v>1699</v>
      </c>
      <c r="D15" s="539" t="s">
        <v>1699</v>
      </c>
      <c r="E15" s="539" t="s">
        <v>1699</v>
      </c>
      <c r="F15" s="539" t="s">
        <v>1699</v>
      </c>
      <c r="G15" s="539" t="s">
        <v>1699</v>
      </c>
      <c r="H15" s="352"/>
      <c r="I15" s="88"/>
      <c r="J15" s="83"/>
    </row>
    <row r="16" spans="1:11">
      <c r="A16" s="1335" t="s">
        <v>43</v>
      </c>
      <c r="B16" s="224" t="s">
        <v>1698</v>
      </c>
      <c r="C16" s="224" t="s">
        <v>1699</v>
      </c>
      <c r="D16" s="1328" t="s">
        <v>1700</v>
      </c>
      <c r="E16" s="224" t="s">
        <v>1699</v>
      </c>
      <c r="F16" s="224" t="s">
        <v>1699</v>
      </c>
      <c r="G16" s="224" t="s">
        <v>1699</v>
      </c>
      <c r="H16" s="96" t="s">
        <v>1713</v>
      </c>
      <c r="I16" s="84"/>
      <c r="J16" s="83"/>
    </row>
    <row r="17" spans="1:11">
      <c r="A17" s="1336" t="s">
        <v>405</v>
      </c>
      <c r="B17" s="224" t="s">
        <v>1698</v>
      </c>
      <c r="C17" s="224" t="s">
        <v>1699</v>
      </c>
      <c r="D17" s="224" t="s">
        <v>1699</v>
      </c>
      <c r="E17" s="224" t="s">
        <v>1699</v>
      </c>
      <c r="F17" s="224" t="s">
        <v>1699</v>
      </c>
      <c r="G17" s="1328" t="s">
        <v>1700</v>
      </c>
      <c r="H17" s="96" t="s">
        <v>1714</v>
      </c>
      <c r="I17" s="84"/>
      <c r="J17" s="83"/>
    </row>
    <row r="18" spans="1:11" hidden="1">
      <c r="A18" s="1336" t="s">
        <v>1715</v>
      </c>
      <c r="B18" s="539" t="s">
        <v>1702</v>
      </c>
      <c r="C18" s="539" t="s">
        <v>1699</v>
      </c>
      <c r="D18" s="539" t="s">
        <v>1699</v>
      </c>
      <c r="E18" s="539" t="s">
        <v>1699</v>
      </c>
      <c r="F18" s="539" t="s">
        <v>1699</v>
      </c>
      <c r="G18" s="539" t="s">
        <v>1699</v>
      </c>
      <c r="H18" s="96"/>
      <c r="I18" s="84"/>
      <c r="J18" s="83"/>
    </row>
    <row r="19" spans="1:11" hidden="1">
      <c r="A19" s="1336" t="s">
        <v>1716</v>
      </c>
      <c r="B19" s="539" t="s">
        <v>1702</v>
      </c>
      <c r="C19" s="539" t="s">
        <v>1699</v>
      </c>
      <c r="D19" s="539" t="s">
        <v>1699</v>
      </c>
      <c r="E19" s="539" t="s">
        <v>1699</v>
      </c>
      <c r="F19" s="539" t="s">
        <v>1699</v>
      </c>
      <c r="G19" s="539" t="s">
        <v>1699</v>
      </c>
      <c r="H19" s="96"/>
      <c r="I19" s="84"/>
      <c r="J19" s="83"/>
    </row>
    <row r="20" spans="1:11">
      <c r="A20" s="84" t="s">
        <v>19</v>
      </c>
      <c r="B20" s="224" t="s">
        <v>1698</v>
      </c>
      <c r="C20" s="224" t="s">
        <v>1699</v>
      </c>
      <c r="D20" s="224" t="s">
        <v>1699</v>
      </c>
      <c r="E20" s="224" t="s">
        <v>1699</v>
      </c>
      <c r="F20" s="224" t="s">
        <v>1699</v>
      </c>
      <c r="G20" s="1328" t="s">
        <v>1700</v>
      </c>
      <c r="H20" s="96" t="s">
        <v>1714</v>
      </c>
      <c r="I20" s="84"/>
      <c r="J20" s="83"/>
    </row>
    <row r="21" spans="1:11" hidden="1">
      <c r="A21" s="1337" t="s">
        <v>249</v>
      </c>
      <c r="B21" s="224"/>
      <c r="C21" s="224" t="s">
        <v>1699</v>
      </c>
      <c r="D21" s="224" t="s">
        <v>1699</v>
      </c>
      <c r="E21" s="224" t="s">
        <v>1699</v>
      </c>
      <c r="F21" s="224"/>
      <c r="G21" s="224"/>
      <c r="H21" s="87"/>
      <c r="I21" s="84"/>
      <c r="J21" s="83"/>
    </row>
    <row r="22" spans="1:11">
      <c r="A22" s="1338" t="s">
        <v>367</v>
      </c>
      <c r="B22" s="1333" t="s">
        <v>1702</v>
      </c>
      <c r="C22" s="1333" t="s">
        <v>1699</v>
      </c>
      <c r="D22" s="1333" t="s">
        <v>1699</v>
      </c>
      <c r="E22" s="1333" t="s">
        <v>1699</v>
      </c>
      <c r="F22" s="1333" t="s">
        <v>1699</v>
      </c>
      <c r="G22" s="1333" t="s">
        <v>1699</v>
      </c>
      <c r="H22" s="257" t="s">
        <v>1717</v>
      </c>
      <c r="I22" s="258" t="s">
        <v>35</v>
      </c>
      <c r="J22" s="201"/>
    </row>
    <row r="23" spans="1:11">
      <c r="A23" s="173" t="s">
        <v>32</v>
      </c>
      <c r="B23" s="161" t="s">
        <v>1702</v>
      </c>
      <c r="C23" s="161" t="s">
        <v>1699</v>
      </c>
      <c r="D23" s="161" t="s">
        <v>1699</v>
      </c>
      <c r="E23" s="161" t="s">
        <v>1699</v>
      </c>
      <c r="F23" s="161" t="s">
        <v>1699</v>
      </c>
      <c r="G23" s="161" t="s">
        <v>1699</v>
      </c>
      <c r="H23" s="162" t="s">
        <v>1718</v>
      </c>
      <c r="I23" s="88" t="s">
        <v>35</v>
      </c>
      <c r="J23" s="174" t="s">
        <v>35</v>
      </c>
      <c r="K23" t="s">
        <v>1719</v>
      </c>
    </row>
    <row r="24" spans="1:11" hidden="1">
      <c r="A24" s="173" t="s">
        <v>1720</v>
      </c>
      <c r="B24" s="84" t="s">
        <v>1721</v>
      </c>
      <c r="C24" s="1328" t="s">
        <v>1700</v>
      </c>
      <c r="D24" s="224" t="s">
        <v>1699</v>
      </c>
      <c r="E24" s="224" t="s">
        <v>1699</v>
      </c>
      <c r="F24" s="1328" t="s">
        <v>1700</v>
      </c>
      <c r="G24" s="84" t="s">
        <v>1699</v>
      </c>
      <c r="H24" s="162"/>
      <c r="I24" s="88"/>
      <c r="J24" s="174"/>
    </row>
    <row r="25" spans="1:11">
      <c r="A25" s="348" t="s">
        <v>1162</v>
      </c>
      <c r="B25" s="349" t="s">
        <v>1702</v>
      </c>
      <c r="C25" s="349" t="s">
        <v>1699</v>
      </c>
      <c r="D25" s="349" t="s">
        <v>1699</v>
      </c>
      <c r="E25" s="349" t="s">
        <v>1699</v>
      </c>
      <c r="F25" s="349" t="s">
        <v>1699</v>
      </c>
      <c r="G25" s="349" t="s">
        <v>1699</v>
      </c>
      <c r="H25" s="350" t="s">
        <v>1703</v>
      </c>
      <c r="I25" s="88"/>
      <c r="J25" s="88"/>
    </row>
    <row r="26" spans="1:11" ht="39" hidden="1">
      <c r="A26" s="348" t="s">
        <v>1722</v>
      </c>
      <c r="B26" s="1334" t="s">
        <v>1698</v>
      </c>
      <c r="C26" s="1334" t="s">
        <v>1699</v>
      </c>
      <c r="D26" s="1334" t="s">
        <v>1699</v>
      </c>
      <c r="E26" s="1334" t="s">
        <v>1699</v>
      </c>
      <c r="F26" s="1328" t="s">
        <v>1700</v>
      </c>
      <c r="G26" s="1334" t="s">
        <v>1699</v>
      </c>
      <c r="H26" s="350"/>
      <c r="I26" s="88" t="s">
        <v>1723</v>
      </c>
      <c r="J26" s="88"/>
    </row>
    <row r="27" spans="1:11" ht="30" hidden="1" customHeight="1">
      <c r="A27" s="348" t="s">
        <v>1724</v>
      </c>
      <c r="B27" s="1334" t="s">
        <v>1698</v>
      </c>
      <c r="C27" s="1334" t="s">
        <v>1699</v>
      </c>
      <c r="D27" s="1334" t="s">
        <v>1699</v>
      </c>
      <c r="E27" s="1334" t="s">
        <v>1699</v>
      </c>
      <c r="F27" s="1339" t="s">
        <v>1725</v>
      </c>
      <c r="G27" s="1334" t="s">
        <v>1699</v>
      </c>
      <c r="H27" s="350"/>
      <c r="I27" s="88" t="s">
        <v>1723</v>
      </c>
      <c r="J27" s="88"/>
    </row>
    <row r="28" spans="1:11">
      <c r="A28" s="1327" t="s">
        <v>34</v>
      </c>
      <c r="B28" s="224" t="s">
        <v>1698</v>
      </c>
      <c r="C28" s="224" t="s">
        <v>1699</v>
      </c>
      <c r="D28" s="224" t="s">
        <v>1699</v>
      </c>
      <c r="E28" s="224" t="s">
        <v>1699</v>
      </c>
      <c r="F28" s="1328" t="s">
        <v>1700</v>
      </c>
      <c r="G28" s="224" t="s">
        <v>1699</v>
      </c>
      <c r="H28" s="96" t="s">
        <v>1726</v>
      </c>
      <c r="I28" s="88" t="s">
        <v>35</v>
      </c>
      <c r="J28" s="83"/>
    </row>
    <row r="29" spans="1:11">
      <c r="A29" s="84" t="s">
        <v>1727</v>
      </c>
      <c r="B29" s="84" t="s">
        <v>1721</v>
      </c>
      <c r="C29" s="224" t="s">
        <v>1699</v>
      </c>
      <c r="D29" s="224" t="s">
        <v>1699</v>
      </c>
      <c r="E29" s="224" t="s">
        <v>1699</v>
      </c>
      <c r="F29" s="1328" t="s">
        <v>1700</v>
      </c>
      <c r="G29" s="84" t="s">
        <v>1699</v>
      </c>
      <c r="H29" s="96" t="s">
        <v>1713</v>
      </c>
      <c r="I29" s="84"/>
      <c r="J29" s="83"/>
    </row>
    <row r="30" spans="1:11">
      <c r="A30" s="84" t="s">
        <v>275</v>
      </c>
      <c r="B30" s="224" t="s">
        <v>1698</v>
      </c>
      <c r="C30" s="1328" t="s">
        <v>1700</v>
      </c>
      <c r="D30" s="224" t="s">
        <v>1699</v>
      </c>
      <c r="E30" s="224" t="s">
        <v>1699</v>
      </c>
      <c r="F30" s="224" t="s">
        <v>1699</v>
      </c>
      <c r="G30" s="224" t="s">
        <v>1699</v>
      </c>
      <c r="H30" s="96" t="s">
        <v>1713</v>
      </c>
      <c r="I30" s="84"/>
      <c r="J30" s="83"/>
    </row>
    <row r="31" spans="1:11">
      <c r="A31" s="174" t="s">
        <v>1164</v>
      </c>
      <c r="B31" s="1340" t="s">
        <v>1702</v>
      </c>
      <c r="C31" s="539" t="s">
        <v>1699</v>
      </c>
      <c r="D31" s="539" t="s">
        <v>1699</v>
      </c>
      <c r="E31" s="539" t="s">
        <v>1699</v>
      </c>
      <c r="F31" s="539" t="s">
        <v>1699</v>
      </c>
      <c r="G31" s="539" t="s">
        <v>1699</v>
      </c>
      <c r="H31" s="94" t="s">
        <v>1713</v>
      </c>
      <c r="I31" s="84"/>
      <c r="J31" s="174" t="s">
        <v>35</v>
      </c>
    </row>
    <row r="32" spans="1:11">
      <c r="A32" s="174" t="s">
        <v>961</v>
      </c>
      <c r="B32" s="1340" t="s">
        <v>1702</v>
      </c>
      <c r="C32" s="539" t="s">
        <v>1699</v>
      </c>
      <c r="D32" s="539" t="s">
        <v>1699</v>
      </c>
      <c r="E32" s="539" t="s">
        <v>1699</v>
      </c>
      <c r="F32" s="539" t="s">
        <v>1699</v>
      </c>
      <c r="G32" s="539" t="s">
        <v>1699</v>
      </c>
      <c r="H32" s="94" t="s">
        <v>1713</v>
      </c>
      <c r="I32" s="84"/>
      <c r="J32" s="174" t="s">
        <v>35</v>
      </c>
    </row>
    <row r="33" spans="1:11" hidden="1">
      <c r="A33" s="174" t="s">
        <v>1728</v>
      </c>
      <c r="B33" s="84" t="s">
        <v>1721</v>
      </c>
      <c r="C33" s="1328" t="s">
        <v>1700</v>
      </c>
      <c r="D33" s="224" t="s">
        <v>1699</v>
      </c>
      <c r="E33" s="224" t="s">
        <v>1699</v>
      </c>
      <c r="F33" s="539" t="s">
        <v>1699</v>
      </c>
      <c r="G33" s="1328" t="s">
        <v>1700</v>
      </c>
      <c r="H33" s="94"/>
      <c r="I33" s="84"/>
      <c r="J33" s="174"/>
    </row>
    <row r="34" spans="1:11" ht="42.6">
      <c r="A34" s="255" t="s">
        <v>406</v>
      </c>
      <c r="B34" s="1341" t="s">
        <v>1698</v>
      </c>
      <c r="C34" s="1341" t="s">
        <v>1699</v>
      </c>
      <c r="D34" s="1341" t="s">
        <v>1699</v>
      </c>
      <c r="E34" s="1341" t="s">
        <v>1699</v>
      </c>
      <c r="F34" s="1341" t="s">
        <v>1699</v>
      </c>
      <c r="G34" s="1342" t="s">
        <v>1725</v>
      </c>
      <c r="H34" s="254" t="s">
        <v>1729</v>
      </c>
      <c r="I34" s="255"/>
      <c r="J34" s="255"/>
      <c r="K34" s="256" t="s">
        <v>1730</v>
      </c>
    </row>
    <row r="35" spans="1:11">
      <c r="A35" s="1343" t="s">
        <v>37</v>
      </c>
      <c r="B35" s="539" t="s">
        <v>1702</v>
      </c>
      <c r="C35" s="539" t="s">
        <v>1699</v>
      </c>
      <c r="D35" s="539" t="s">
        <v>1699</v>
      </c>
      <c r="E35" s="539" t="s">
        <v>1699</v>
      </c>
      <c r="F35" s="539" t="s">
        <v>1699</v>
      </c>
      <c r="G35" s="539" t="s">
        <v>1699</v>
      </c>
      <c r="H35" s="94" t="s">
        <v>1709</v>
      </c>
      <c r="I35" s="84"/>
      <c r="J35" s="174" t="s">
        <v>35</v>
      </c>
    </row>
    <row r="36" spans="1:11" hidden="1">
      <c r="A36" s="1343"/>
      <c r="B36" s="539"/>
      <c r="C36" s="539"/>
      <c r="D36" s="539"/>
      <c r="E36" s="539"/>
      <c r="F36" s="539"/>
      <c r="G36" s="539"/>
      <c r="H36" s="94"/>
      <c r="I36" s="84"/>
      <c r="J36" s="174"/>
    </row>
    <row r="37" spans="1:11">
      <c r="A37" s="174" t="s">
        <v>1078</v>
      </c>
      <c r="B37" s="1340" t="s">
        <v>1702</v>
      </c>
      <c r="C37" s="539" t="s">
        <v>1699</v>
      </c>
      <c r="D37" s="539" t="s">
        <v>1699</v>
      </c>
      <c r="E37" s="539" t="s">
        <v>1699</v>
      </c>
      <c r="F37" s="539" t="s">
        <v>1699</v>
      </c>
      <c r="G37" s="539" t="s">
        <v>1699</v>
      </c>
      <c r="H37" s="94" t="s">
        <v>1714</v>
      </c>
      <c r="I37" s="84"/>
      <c r="J37" s="174" t="s">
        <v>35</v>
      </c>
    </row>
    <row r="38" spans="1:11" hidden="1">
      <c r="A38" s="174" t="s">
        <v>1731</v>
      </c>
      <c r="B38" s="84" t="s">
        <v>1721</v>
      </c>
      <c r="C38" s="539" t="s">
        <v>1699</v>
      </c>
      <c r="D38" s="224" t="s">
        <v>1699</v>
      </c>
      <c r="E38" s="224" t="s">
        <v>1699</v>
      </c>
      <c r="F38" s="1328" t="s">
        <v>1700</v>
      </c>
      <c r="G38" s="1328" t="s">
        <v>1700</v>
      </c>
      <c r="H38" s="94"/>
      <c r="I38" s="84"/>
      <c r="J38" s="174"/>
    </row>
    <row r="39" spans="1:11">
      <c r="A39" s="1336" t="s">
        <v>31</v>
      </c>
      <c r="B39" s="224" t="s">
        <v>1732</v>
      </c>
      <c r="C39" s="224" t="s">
        <v>1699</v>
      </c>
      <c r="D39" s="224" t="s">
        <v>1699</v>
      </c>
      <c r="E39" s="1328" t="s">
        <v>1700</v>
      </c>
      <c r="F39" s="1328" t="s">
        <v>1700</v>
      </c>
      <c r="G39" s="224" t="s">
        <v>1699</v>
      </c>
      <c r="H39" s="96" t="s">
        <v>1714</v>
      </c>
      <c r="I39" s="84"/>
      <c r="J39" s="83"/>
    </row>
    <row r="40" spans="1:11">
      <c r="A40" s="171" t="s">
        <v>550</v>
      </c>
      <c r="B40" s="163" t="s">
        <v>1698</v>
      </c>
      <c r="C40" s="163" t="s">
        <v>1699</v>
      </c>
      <c r="D40" s="163" t="s">
        <v>1699</v>
      </c>
      <c r="E40" s="163" t="s">
        <v>1699</v>
      </c>
      <c r="F40" s="163" t="s">
        <v>1699</v>
      </c>
      <c r="G40" s="164" t="s">
        <v>1700</v>
      </c>
      <c r="H40" s="165" t="s">
        <v>1718</v>
      </c>
      <c r="I40" s="88" t="s">
        <v>35</v>
      </c>
      <c r="J40" s="83"/>
    </row>
    <row r="41" spans="1:11" hidden="1">
      <c r="A41" s="1337" t="s">
        <v>171</v>
      </c>
      <c r="B41" s="224"/>
      <c r="C41" s="224" t="s">
        <v>1699</v>
      </c>
      <c r="D41" s="224" t="s">
        <v>1699</v>
      </c>
      <c r="E41" s="224" t="s">
        <v>1699</v>
      </c>
      <c r="F41" s="224"/>
      <c r="G41" s="224"/>
      <c r="H41" s="87"/>
      <c r="I41" s="84"/>
      <c r="J41" s="83"/>
    </row>
    <row r="42" spans="1:11">
      <c r="A42" s="84" t="s">
        <v>970</v>
      </c>
      <c r="B42" s="224" t="s">
        <v>1698</v>
      </c>
      <c r="C42" s="224" t="s">
        <v>1699</v>
      </c>
      <c r="D42" s="224" t="s">
        <v>1699</v>
      </c>
      <c r="E42" s="224" t="s">
        <v>1699</v>
      </c>
      <c r="F42" s="224" t="s">
        <v>1699</v>
      </c>
      <c r="G42" s="1328" t="s">
        <v>1700</v>
      </c>
      <c r="H42" s="93" t="s">
        <v>1708</v>
      </c>
      <c r="I42" s="84"/>
      <c r="J42" s="83"/>
    </row>
    <row r="43" spans="1:11" hidden="1">
      <c r="A43" s="84" t="s">
        <v>1733</v>
      </c>
      <c r="B43" s="163" t="s">
        <v>1698</v>
      </c>
      <c r="C43" s="163" t="s">
        <v>1699</v>
      </c>
      <c r="D43" s="163" t="s">
        <v>1699</v>
      </c>
      <c r="E43" s="163" t="s">
        <v>1699</v>
      </c>
      <c r="F43" s="163" t="s">
        <v>1699</v>
      </c>
      <c r="G43" s="164" t="s">
        <v>1700</v>
      </c>
      <c r="H43" s="93"/>
      <c r="I43" s="84"/>
      <c r="J43" s="83"/>
    </row>
    <row r="44" spans="1:11" hidden="1">
      <c r="A44" s="84" t="s">
        <v>1734</v>
      </c>
      <c r="B44" s="163" t="s">
        <v>1698</v>
      </c>
      <c r="C44" s="163" t="s">
        <v>1699</v>
      </c>
      <c r="D44" s="163" t="s">
        <v>1699</v>
      </c>
      <c r="E44" s="163" t="s">
        <v>1699</v>
      </c>
      <c r="F44" s="163" t="s">
        <v>1699</v>
      </c>
      <c r="G44" s="164" t="s">
        <v>1700</v>
      </c>
      <c r="H44" s="93"/>
      <c r="I44" s="84"/>
      <c r="J44" s="83"/>
    </row>
    <row r="45" spans="1:11">
      <c r="A45" s="171" t="s">
        <v>519</v>
      </c>
      <c r="B45" s="163" t="s">
        <v>1698</v>
      </c>
      <c r="C45" s="163" t="s">
        <v>1699</v>
      </c>
      <c r="D45" s="163" t="s">
        <v>1699</v>
      </c>
      <c r="E45" s="163" t="s">
        <v>1699</v>
      </c>
      <c r="F45" s="163" t="s">
        <v>1699</v>
      </c>
      <c r="G45" s="164" t="s">
        <v>1700</v>
      </c>
      <c r="H45" s="165" t="s">
        <v>1735</v>
      </c>
      <c r="I45" s="88" t="s">
        <v>35</v>
      </c>
      <c r="J45" s="83"/>
    </row>
    <row r="46" spans="1:11">
      <c r="A46" s="88" t="s">
        <v>42</v>
      </c>
      <c r="B46" s="224" t="s">
        <v>1698</v>
      </c>
      <c r="C46" s="224" t="s">
        <v>1699</v>
      </c>
      <c r="D46" s="224" t="s">
        <v>1699</v>
      </c>
      <c r="E46" s="224" t="s">
        <v>1699</v>
      </c>
      <c r="F46" s="224" t="s">
        <v>1699</v>
      </c>
      <c r="G46" s="1328" t="s">
        <v>1700</v>
      </c>
      <c r="H46" s="93" t="s">
        <v>1701</v>
      </c>
      <c r="I46" s="88" t="s">
        <v>35</v>
      </c>
      <c r="J46" s="83"/>
    </row>
    <row r="47" spans="1:11">
      <c r="A47" s="171" t="s">
        <v>978</v>
      </c>
      <c r="B47" s="163" t="s">
        <v>1736</v>
      </c>
      <c r="C47" s="163" t="s">
        <v>1699</v>
      </c>
      <c r="D47" s="163" t="s">
        <v>1699</v>
      </c>
      <c r="E47" s="163" t="s">
        <v>1699</v>
      </c>
      <c r="F47" s="164" t="s">
        <v>1700</v>
      </c>
      <c r="G47" s="164" t="s">
        <v>1700</v>
      </c>
      <c r="H47" s="165" t="s">
        <v>1718</v>
      </c>
      <c r="I47" s="88" t="s">
        <v>35</v>
      </c>
      <c r="J47" s="83"/>
    </row>
    <row r="48" spans="1:11">
      <c r="A48" s="84" t="s">
        <v>1467</v>
      </c>
      <c r="B48" s="224" t="s">
        <v>1698</v>
      </c>
      <c r="C48" s="224" t="s">
        <v>1699</v>
      </c>
      <c r="D48" s="224" t="s">
        <v>1699</v>
      </c>
      <c r="E48" s="224" t="s">
        <v>1699</v>
      </c>
      <c r="F48" s="224" t="s">
        <v>1699</v>
      </c>
      <c r="G48" s="1328" t="s">
        <v>1700</v>
      </c>
      <c r="H48" s="93" t="s">
        <v>1705</v>
      </c>
      <c r="I48" s="84"/>
      <c r="J48" s="83"/>
    </row>
    <row r="49" spans="1:10">
      <c r="A49" s="88" t="s">
        <v>980</v>
      </c>
      <c r="B49" s="224" t="s">
        <v>1698</v>
      </c>
      <c r="C49" s="224" t="s">
        <v>1699</v>
      </c>
      <c r="D49" s="224" t="s">
        <v>1699</v>
      </c>
      <c r="E49" s="224" t="s">
        <v>1699</v>
      </c>
      <c r="F49" s="224" t="s">
        <v>1699</v>
      </c>
      <c r="G49" s="1328" t="s">
        <v>1700</v>
      </c>
      <c r="H49" s="93" t="s">
        <v>1701</v>
      </c>
      <c r="I49" s="88" t="s">
        <v>35</v>
      </c>
      <c r="J49" s="83"/>
    </row>
    <row r="50" spans="1:10">
      <c r="A50" s="171" t="s">
        <v>521</v>
      </c>
      <c r="B50" s="163" t="s">
        <v>1736</v>
      </c>
      <c r="C50" s="163" t="s">
        <v>1699</v>
      </c>
      <c r="D50" s="163" t="s">
        <v>1699</v>
      </c>
      <c r="E50" s="163" t="s">
        <v>1699</v>
      </c>
      <c r="F50" s="164" t="s">
        <v>1700</v>
      </c>
      <c r="G50" s="164" t="s">
        <v>1700</v>
      </c>
      <c r="H50" s="165" t="s">
        <v>1737</v>
      </c>
      <c r="I50" s="88" t="s">
        <v>35</v>
      </c>
      <c r="J50" s="83"/>
    </row>
    <row r="51" spans="1:10" ht="21" hidden="1">
      <c r="A51" s="171" t="s">
        <v>1738</v>
      </c>
      <c r="B51" s="349" t="s">
        <v>1698</v>
      </c>
      <c r="C51" s="349" t="s">
        <v>1699</v>
      </c>
      <c r="D51" s="349" t="s">
        <v>1699</v>
      </c>
      <c r="E51" s="349" t="s">
        <v>1699</v>
      </c>
      <c r="F51" s="349" t="s">
        <v>1699</v>
      </c>
      <c r="G51" s="349" t="s">
        <v>1700</v>
      </c>
      <c r="H51" s="350"/>
      <c r="I51" s="351" t="s">
        <v>1739</v>
      </c>
      <c r="J51" s="83"/>
    </row>
    <row r="52" spans="1:10">
      <c r="A52" s="84" t="s">
        <v>1740</v>
      </c>
      <c r="B52" s="224" t="s">
        <v>1736</v>
      </c>
      <c r="C52" s="224" t="s">
        <v>1699</v>
      </c>
      <c r="D52" s="224" t="s">
        <v>1699</v>
      </c>
      <c r="E52" s="224" t="s">
        <v>1699</v>
      </c>
      <c r="F52" s="1328" t="s">
        <v>1700</v>
      </c>
      <c r="G52" s="1328" t="s">
        <v>1700</v>
      </c>
      <c r="H52" s="93" t="s">
        <v>1741</v>
      </c>
      <c r="I52" s="84"/>
      <c r="J52" s="83"/>
    </row>
    <row r="53" spans="1:10">
      <c r="A53" s="84" t="s">
        <v>988</v>
      </c>
      <c r="B53" s="224" t="s">
        <v>1698</v>
      </c>
      <c r="C53" s="224" t="s">
        <v>1699</v>
      </c>
      <c r="D53" s="224" t="s">
        <v>1699</v>
      </c>
      <c r="E53" s="224" t="s">
        <v>1699</v>
      </c>
      <c r="F53" s="224" t="s">
        <v>1699</v>
      </c>
      <c r="G53" s="1328" t="s">
        <v>1700</v>
      </c>
      <c r="H53" s="93" t="s">
        <v>1705</v>
      </c>
      <c r="I53" s="84"/>
      <c r="J53" s="83"/>
    </row>
    <row r="54" spans="1:10">
      <c r="A54" s="1329" t="s">
        <v>13</v>
      </c>
      <c r="B54" s="539" t="s">
        <v>1702</v>
      </c>
      <c r="C54" s="539" t="s">
        <v>1699</v>
      </c>
      <c r="D54" s="539" t="s">
        <v>1699</v>
      </c>
      <c r="E54" s="539" t="s">
        <v>1699</v>
      </c>
      <c r="F54" s="539" t="s">
        <v>1699</v>
      </c>
      <c r="G54" s="539" t="s">
        <v>1699</v>
      </c>
      <c r="H54" s="94" t="s">
        <v>1709</v>
      </c>
      <c r="I54" s="84"/>
      <c r="J54" s="174" t="s">
        <v>35</v>
      </c>
    </row>
    <row r="55" spans="1:10" hidden="1">
      <c r="A55" s="1329" t="s">
        <v>1742</v>
      </c>
      <c r="B55" s="539" t="s">
        <v>1702</v>
      </c>
      <c r="C55" s="539" t="s">
        <v>1699</v>
      </c>
      <c r="D55" s="539" t="s">
        <v>1699</v>
      </c>
      <c r="E55" s="539" t="s">
        <v>1699</v>
      </c>
      <c r="F55" s="539" t="s">
        <v>1699</v>
      </c>
      <c r="G55" s="539" t="s">
        <v>1699</v>
      </c>
      <c r="H55" s="94"/>
      <c r="I55" s="84"/>
      <c r="J55" s="174"/>
    </row>
    <row r="56" spans="1:10">
      <c r="A56" s="84" t="s">
        <v>995</v>
      </c>
      <c r="B56" s="224" t="s">
        <v>1698</v>
      </c>
      <c r="C56" s="224" t="s">
        <v>1699</v>
      </c>
      <c r="D56" s="224" t="s">
        <v>1699</v>
      </c>
      <c r="E56" s="224" t="s">
        <v>1699</v>
      </c>
      <c r="F56" s="224" t="s">
        <v>1699</v>
      </c>
      <c r="G56" s="1328" t="s">
        <v>1700</v>
      </c>
      <c r="H56" s="93" t="s">
        <v>1708</v>
      </c>
      <c r="I56" s="84"/>
      <c r="J56" s="83"/>
    </row>
    <row r="57" spans="1:10">
      <c r="A57" s="187" t="s">
        <v>37</v>
      </c>
      <c r="B57" s="1333" t="s">
        <v>1702</v>
      </c>
      <c r="C57" s="1333" t="s">
        <v>1699</v>
      </c>
      <c r="D57" s="1333" t="s">
        <v>1699</v>
      </c>
      <c r="E57" s="1333" t="s">
        <v>1699</v>
      </c>
      <c r="F57" s="1333" t="s">
        <v>1699</v>
      </c>
      <c r="G57" s="1333" t="s">
        <v>1699</v>
      </c>
      <c r="H57" s="186" t="s">
        <v>1709</v>
      </c>
      <c r="I57" s="187" t="s">
        <v>35</v>
      </c>
      <c r="J57" s="188" t="s">
        <v>35</v>
      </c>
    </row>
    <row r="58" spans="1:10">
      <c r="A58" s="84" t="s">
        <v>488</v>
      </c>
      <c r="B58" s="1333" t="s">
        <v>1702</v>
      </c>
      <c r="C58" s="1333" t="s">
        <v>1699</v>
      </c>
      <c r="D58" s="1333" t="s">
        <v>1699</v>
      </c>
      <c r="E58" s="1333" t="s">
        <v>1699</v>
      </c>
      <c r="F58" s="1333" t="s">
        <v>1699</v>
      </c>
      <c r="G58" s="1333" t="s">
        <v>1699</v>
      </c>
      <c r="H58" s="186" t="s">
        <v>1729</v>
      </c>
      <c r="I58" s="84"/>
      <c r="J58" s="83"/>
    </row>
    <row r="59" spans="1:10">
      <c r="A59" s="260"/>
      <c r="B59" s="260"/>
      <c r="C59" s="260"/>
      <c r="D59" s="260"/>
      <c r="E59" s="260"/>
      <c r="F59" s="260"/>
      <c r="G59" s="260"/>
      <c r="H59" s="260"/>
      <c r="I59" s="260"/>
    </row>
    <row r="60" spans="1:10">
      <c r="A60" s="259" t="s">
        <v>1743</v>
      </c>
    </row>
    <row r="61" spans="1:10">
      <c r="A61" s="84" t="s">
        <v>938</v>
      </c>
      <c r="B61" s="1333" t="s">
        <v>1702</v>
      </c>
      <c r="C61" s="1333" t="s">
        <v>1699</v>
      </c>
      <c r="D61" s="1333" t="s">
        <v>1699</v>
      </c>
      <c r="E61" s="1333" t="s">
        <v>1699</v>
      </c>
      <c r="F61" s="1333" t="s">
        <v>1699</v>
      </c>
      <c r="G61" s="1333" t="s">
        <v>1699</v>
      </c>
      <c r="H61" s="261" t="s">
        <v>1729</v>
      </c>
      <c r="I61" t="s">
        <v>1744</v>
      </c>
    </row>
    <row r="62" spans="1:10">
      <c r="A62" s="84" t="s">
        <v>1745</v>
      </c>
      <c r="B62" s="84" t="s">
        <v>1746</v>
      </c>
      <c r="C62" s="84" t="s">
        <v>1699</v>
      </c>
      <c r="D62" s="1328" t="s">
        <v>1700</v>
      </c>
      <c r="E62" s="84" t="s">
        <v>1699</v>
      </c>
      <c r="F62" s="84" t="s">
        <v>1699</v>
      </c>
      <c r="G62" s="1328" t="s">
        <v>1700</v>
      </c>
      <c r="H62" s="84"/>
      <c r="I62" t="s">
        <v>1747</v>
      </c>
    </row>
    <row r="63" spans="1:10">
      <c r="A63" s="84" t="s">
        <v>968</v>
      </c>
      <c r="B63" s="84" t="s">
        <v>1721</v>
      </c>
      <c r="C63" s="84" t="s">
        <v>1699</v>
      </c>
      <c r="D63" s="1328" t="s">
        <v>1700</v>
      </c>
      <c r="E63" s="84" t="s">
        <v>1699</v>
      </c>
      <c r="F63" s="84" t="s">
        <v>1699</v>
      </c>
      <c r="G63" s="1328" t="s">
        <v>1700</v>
      </c>
      <c r="H63" s="84" t="s">
        <v>1703</v>
      </c>
    </row>
    <row r="64" spans="1:10">
      <c r="A64" s="84" t="s">
        <v>951</v>
      </c>
      <c r="B64" s="1333" t="s">
        <v>1702</v>
      </c>
      <c r="C64" s="1333" t="s">
        <v>1699</v>
      </c>
      <c r="D64" s="1333" t="s">
        <v>1699</v>
      </c>
      <c r="E64" s="1333" t="s">
        <v>1699</v>
      </c>
      <c r="F64" s="1333" t="s">
        <v>1699</v>
      </c>
      <c r="G64" s="1333" t="s">
        <v>1699</v>
      </c>
      <c r="H64" s="261" t="s">
        <v>1709</v>
      </c>
      <c r="I64" t="s">
        <v>1747</v>
      </c>
    </row>
    <row r="65" spans="1:9">
      <c r="A65" s="336" t="s">
        <v>1748</v>
      </c>
      <c r="B65" s="336"/>
      <c r="C65" s="336"/>
      <c r="D65" s="336"/>
      <c r="E65" s="336"/>
      <c r="F65" s="336"/>
      <c r="G65" s="336"/>
      <c r="H65" s="336"/>
    </row>
    <row r="66" spans="1:9">
      <c r="A66" s="336" t="s">
        <v>1749</v>
      </c>
      <c r="B66" s="336"/>
      <c r="C66" s="336"/>
      <c r="D66" s="336"/>
      <c r="E66" s="336"/>
      <c r="F66" s="336"/>
      <c r="G66" s="336"/>
      <c r="H66" s="336"/>
      <c r="I66" t="s">
        <v>1747</v>
      </c>
    </row>
    <row r="67" spans="1:9">
      <c r="A67" s="336" t="s">
        <v>1750</v>
      </c>
      <c r="B67" s="336"/>
      <c r="C67" s="336"/>
      <c r="D67" s="336"/>
      <c r="E67" s="336"/>
      <c r="F67" s="336"/>
      <c r="G67" s="336"/>
      <c r="H67" s="336"/>
    </row>
    <row r="68" spans="1:9">
      <c r="A68" s="336" t="s">
        <v>1751</v>
      </c>
      <c r="B68" s="336"/>
      <c r="C68" s="336"/>
      <c r="D68" s="336"/>
      <c r="E68" s="336"/>
      <c r="F68" s="336"/>
      <c r="G68" s="336"/>
      <c r="H68" s="336"/>
    </row>
    <row r="69" spans="1:9">
      <c r="A69" s="84" t="s">
        <v>1752</v>
      </c>
      <c r="B69" s="539" t="s">
        <v>1702</v>
      </c>
      <c r="C69" s="539" t="s">
        <v>1699</v>
      </c>
      <c r="D69" s="539" t="s">
        <v>1699</v>
      </c>
      <c r="E69" s="539" t="s">
        <v>1699</v>
      </c>
      <c r="F69" s="539" t="s">
        <v>1699</v>
      </c>
      <c r="G69" s="539" t="s">
        <v>1699</v>
      </c>
      <c r="H69" s="84"/>
      <c r="I69" t="s">
        <v>1747</v>
      </c>
    </row>
    <row r="70" spans="1:9">
      <c r="A70" s="84" t="s">
        <v>1753</v>
      </c>
      <c r="B70" s="224" t="s">
        <v>1698</v>
      </c>
      <c r="C70" s="224" t="s">
        <v>1699</v>
      </c>
      <c r="D70" s="224" t="s">
        <v>1699</v>
      </c>
      <c r="E70" s="224" t="s">
        <v>1699</v>
      </c>
      <c r="F70" s="224" t="s">
        <v>1699</v>
      </c>
      <c r="G70" s="1328" t="s">
        <v>1700</v>
      </c>
      <c r="I70" t="s">
        <v>1747</v>
      </c>
    </row>
    <row r="71" spans="1:9">
      <c r="A71" s="84" t="s">
        <v>1754</v>
      </c>
      <c r="B71" s="224" t="s">
        <v>1698</v>
      </c>
      <c r="C71" s="224" t="s">
        <v>1699</v>
      </c>
      <c r="D71" s="224" t="s">
        <v>1699</v>
      </c>
      <c r="E71" s="224" t="s">
        <v>1699</v>
      </c>
      <c r="F71" s="224" t="s">
        <v>1699</v>
      </c>
      <c r="G71" s="1328" t="s">
        <v>1700</v>
      </c>
    </row>
    <row r="72" spans="1:9">
      <c r="A72" s="84" t="s">
        <v>1755</v>
      </c>
    </row>
  </sheetData>
  <autoFilter ref="A1:J57" xr:uid="{66B7679B-D5B3-4959-B103-6037D216C35B}">
    <filterColumn colId="7">
      <customFilters>
        <customFilter operator="notEqual" val=" "/>
      </customFilters>
    </filterColumn>
  </autoFilter>
  <sortState xmlns:xlrd2="http://schemas.microsoft.com/office/spreadsheetml/2017/richdata2" ref="A3:H60">
    <sortCondition ref="A3:A60"/>
  </sortState>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BE247-E39F-4D7E-A83F-C559068CC1A9}">
  <dimension ref="B1:H88"/>
  <sheetViews>
    <sheetView workbookViewId="0">
      <pane ySplit="1" topLeftCell="A2" activePane="bottomLeft" state="frozen"/>
      <selection pane="bottomLeft" activeCell="E21" sqref="E21"/>
    </sheetView>
  </sheetViews>
  <sheetFormatPr defaultRowHeight="14.45"/>
  <cols>
    <col min="2" max="2" width="35.42578125" style="386" bestFit="1" customWidth="1"/>
    <col min="3" max="3" width="12.28515625" style="385" customWidth="1"/>
    <col min="4" max="5" width="11.7109375" style="386" customWidth="1"/>
    <col min="6" max="6" width="7" style="386" customWidth="1"/>
    <col min="7" max="7" width="9.7109375" style="383" bestFit="1" customWidth="1"/>
    <col min="8" max="8" width="11.7109375" style="378" customWidth="1"/>
  </cols>
  <sheetData>
    <row r="1" spans="2:8">
      <c r="B1" s="389" t="s">
        <v>1</v>
      </c>
      <c r="C1" s="390" t="s">
        <v>1050</v>
      </c>
      <c r="D1" s="389" t="s">
        <v>346</v>
      </c>
      <c r="E1" s="389" t="s">
        <v>1756</v>
      </c>
      <c r="F1" s="389" t="s">
        <v>1757</v>
      </c>
      <c r="G1" s="391" t="s">
        <v>1624</v>
      </c>
      <c r="H1" s="392" t="s">
        <v>1557</v>
      </c>
    </row>
    <row r="2" spans="2:8">
      <c r="B2" s="381" t="s">
        <v>519</v>
      </c>
      <c r="C2" s="38" t="s">
        <v>841</v>
      </c>
      <c r="D2" s="381" t="s">
        <v>1038</v>
      </c>
      <c r="E2" s="381"/>
      <c r="F2" s="382">
        <v>0.06</v>
      </c>
    </row>
    <row r="3" spans="2:8">
      <c r="B3" s="381" t="s">
        <v>488</v>
      </c>
      <c r="C3" s="38" t="s">
        <v>1758</v>
      </c>
      <c r="D3" s="381" t="s">
        <v>1038</v>
      </c>
      <c r="E3" s="381"/>
      <c r="F3" s="382">
        <v>0.06</v>
      </c>
    </row>
    <row r="4" spans="2:8">
      <c r="B4" s="381" t="s">
        <v>550</v>
      </c>
      <c r="C4" s="38" t="s">
        <v>1758</v>
      </c>
      <c r="D4" s="381" t="s">
        <v>1759</v>
      </c>
      <c r="E4" s="381"/>
      <c r="F4" s="382">
        <v>0.05</v>
      </c>
      <c r="G4" s="383">
        <v>0.12</v>
      </c>
    </row>
    <row r="5" spans="2:8">
      <c r="B5" s="381" t="s">
        <v>928</v>
      </c>
      <c r="C5" s="38" t="s">
        <v>1760</v>
      </c>
      <c r="D5" s="381" t="s">
        <v>1761</v>
      </c>
      <c r="E5" s="381"/>
      <c r="F5" s="382">
        <v>0.05</v>
      </c>
    </row>
    <row r="6" spans="2:8">
      <c r="B6" s="381" t="s">
        <v>538</v>
      </c>
      <c r="C6" s="38" t="s">
        <v>1762</v>
      </c>
      <c r="D6" s="381" t="s">
        <v>1759</v>
      </c>
      <c r="E6" s="381"/>
      <c r="F6" s="382">
        <v>0.05</v>
      </c>
    </row>
    <row r="7" spans="2:8">
      <c r="B7" s="381" t="s">
        <v>521</v>
      </c>
      <c r="C7" s="38" t="s">
        <v>1047</v>
      </c>
      <c r="D7" s="381" t="s">
        <v>1038</v>
      </c>
      <c r="E7" s="381"/>
      <c r="F7" s="382">
        <v>0.05</v>
      </c>
    </row>
    <row r="8" spans="2:8">
      <c r="B8" s="381" t="s">
        <v>978</v>
      </c>
      <c r="C8" s="38" t="s">
        <v>840</v>
      </c>
      <c r="D8" s="381" t="s">
        <v>1759</v>
      </c>
      <c r="E8" s="381"/>
      <c r="F8" s="382">
        <v>0.05</v>
      </c>
    </row>
    <row r="9" spans="2:8">
      <c r="B9" s="381" t="s">
        <v>1727</v>
      </c>
      <c r="C9" s="38" t="s">
        <v>1763</v>
      </c>
      <c r="D9" s="381"/>
      <c r="E9" s="381"/>
      <c r="F9" s="381"/>
    </row>
    <row r="10" spans="2:8">
      <c r="B10" s="381" t="s">
        <v>1740</v>
      </c>
      <c r="C10" s="38" t="s">
        <v>1763</v>
      </c>
      <c r="D10" s="381"/>
      <c r="E10" s="381"/>
      <c r="F10" s="381"/>
    </row>
    <row r="11" spans="2:8">
      <c r="B11" s="381" t="s">
        <v>958</v>
      </c>
      <c r="C11" s="38"/>
      <c r="D11" s="381"/>
      <c r="E11" s="381"/>
      <c r="F11" s="381"/>
    </row>
    <row r="12" spans="2:8">
      <c r="B12" s="381" t="s">
        <v>1764</v>
      </c>
      <c r="C12" s="38" t="s">
        <v>1765</v>
      </c>
      <c r="D12" s="381"/>
      <c r="E12" s="381"/>
      <c r="F12" s="381"/>
    </row>
    <row r="13" spans="2:8" ht="26.1">
      <c r="B13" s="381" t="s">
        <v>1766</v>
      </c>
      <c r="C13" s="384" t="s">
        <v>1767</v>
      </c>
      <c r="D13" s="381" t="s">
        <v>1759</v>
      </c>
      <c r="E13" s="381"/>
      <c r="F13" s="383"/>
      <c r="H13" s="378" t="s">
        <v>35</v>
      </c>
    </row>
    <row r="14" spans="2:8">
      <c r="B14" s="381" t="s">
        <v>909</v>
      </c>
      <c r="C14" s="384"/>
      <c r="D14" s="383" t="s">
        <v>1761</v>
      </c>
      <c r="E14" s="383"/>
      <c r="F14" s="383"/>
      <c r="G14" s="383">
        <v>0.8</v>
      </c>
      <c r="H14" s="378" t="s">
        <v>35</v>
      </c>
    </row>
    <row r="15" spans="2:8">
      <c r="B15" s="383"/>
      <c r="C15" s="384"/>
      <c r="D15" s="383"/>
      <c r="E15" s="383"/>
      <c r="F15" s="383"/>
    </row>
    <row r="16" spans="2:8">
      <c r="B16" s="381" t="s">
        <v>1564</v>
      </c>
      <c r="C16" s="38"/>
      <c r="D16" s="381" t="s">
        <v>1768</v>
      </c>
      <c r="E16" s="381"/>
      <c r="F16" s="381"/>
      <c r="G16" s="381">
        <v>2.15</v>
      </c>
    </row>
    <row r="17" spans="2:8">
      <c r="B17" s="381" t="s">
        <v>1596</v>
      </c>
      <c r="C17" s="38"/>
      <c r="D17" s="381"/>
      <c r="E17" s="381"/>
      <c r="F17" s="381"/>
      <c r="G17" s="381">
        <v>1.86</v>
      </c>
    </row>
    <row r="18" spans="2:8">
      <c r="B18" s="381" t="s">
        <v>1613</v>
      </c>
      <c r="C18" s="38"/>
      <c r="D18" s="381"/>
      <c r="E18" s="381"/>
      <c r="F18" s="381"/>
      <c r="G18" s="381">
        <v>0.9</v>
      </c>
    </row>
    <row r="19" spans="2:8">
      <c r="B19" s="381" t="s">
        <v>1578</v>
      </c>
      <c r="C19" s="38"/>
      <c r="D19" s="381"/>
      <c r="E19" s="381"/>
      <c r="F19" s="381"/>
      <c r="G19" s="381">
        <v>0.66</v>
      </c>
    </row>
    <row r="20" spans="2:8">
      <c r="B20" s="381" t="s">
        <v>1618</v>
      </c>
      <c r="C20" s="38"/>
      <c r="D20" s="381"/>
      <c r="E20" s="381"/>
      <c r="F20" s="381"/>
      <c r="G20" s="381">
        <v>0.49</v>
      </c>
    </row>
    <row r="21" spans="2:8">
      <c r="B21" s="381" t="s">
        <v>1098</v>
      </c>
      <c r="C21" s="38"/>
      <c r="D21" s="381"/>
      <c r="E21" s="381"/>
      <c r="F21" s="381"/>
      <c r="G21" s="381">
        <v>0.43</v>
      </c>
    </row>
    <row r="22" spans="2:8">
      <c r="B22" s="381" t="s">
        <v>1612</v>
      </c>
      <c r="C22" s="38"/>
      <c r="D22" s="381"/>
      <c r="E22" s="381"/>
      <c r="F22" s="381"/>
      <c r="G22" s="381">
        <v>0.31</v>
      </c>
    </row>
    <row r="23" spans="2:8">
      <c r="B23" s="381" t="s">
        <v>1577</v>
      </c>
      <c r="C23" s="38"/>
      <c r="D23" s="381"/>
      <c r="E23" s="381"/>
      <c r="F23" s="381"/>
      <c r="G23" s="381">
        <v>0.31</v>
      </c>
    </row>
    <row r="24" spans="2:8">
      <c r="B24" s="381" t="s">
        <v>1588</v>
      </c>
      <c r="C24" s="38"/>
      <c r="D24" s="381"/>
      <c r="E24" s="381"/>
      <c r="F24" s="381"/>
      <c r="G24" s="381">
        <v>0.28000000000000003</v>
      </c>
    </row>
    <row r="25" spans="2:8">
      <c r="B25" s="381" t="s">
        <v>1583</v>
      </c>
      <c r="C25" s="38"/>
      <c r="D25" s="381"/>
      <c r="E25" s="381"/>
      <c r="F25" s="381"/>
      <c r="G25" s="381">
        <v>0.24</v>
      </c>
    </row>
    <row r="26" spans="2:8">
      <c r="B26" s="381" t="s">
        <v>1620</v>
      </c>
      <c r="C26" s="38"/>
      <c r="D26" s="381"/>
      <c r="E26" s="381"/>
      <c r="F26" s="381"/>
      <c r="G26" s="381">
        <v>0.23</v>
      </c>
    </row>
    <row r="27" spans="2:8">
      <c r="B27" s="381" t="s">
        <v>207</v>
      </c>
      <c r="C27" s="38"/>
      <c r="D27" s="381"/>
      <c r="E27" s="381"/>
      <c r="F27" s="381"/>
      <c r="G27" s="381">
        <v>0.21</v>
      </c>
    </row>
    <row r="28" spans="2:8">
      <c r="B28" s="381" t="s">
        <v>1067</v>
      </c>
      <c r="C28" s="38"/>
      <c r="D28" s="381"/>
      <c r="E28" s="381"/>
      <c r="F28" s="381"/>
      <c r="G28" s="381">
        <v>0.05</v>
      </c>
    </row>
    <row r="29" spans="2:8">
      <c r="B29" s="381" t="s">
        <v>1586</v>
      </c>
      <c r="C29" s="38"/>
      <c r="D29" s="381"/>
      <c r="E29" s="381"/>
      <c r="F29" s="381"/>
      <c r="G29" s="381">
        <v>5.7000000000000002E-2</v>
      </c>
    </row>
    <row r="31" spans="2:8">
      <c r="B31" s="38" t="s">
        <v>564</v>
      </c>
      <c r="D31" s="158" t="s">
        <v>505</v>
      </c>
      <c r="G31" s="387">
        <v>4.13</v>
      </c>
      <c r="H31" s="380"/>
    </row>
    <row r="32" spans="2:8">
      <c r="B32" s="38" t="s">
        <v>1615</v>
      </c>
      <c r="D32" s="158" t="s">
        <v>505</v>
      </c>
      <c r="G32" s="387">
        <v>2.57</v>
      </c>
      <c r="H32" s="380"/>
    </row>
    <row r="33" spans="2:8">
      <c r="B33" s="38" t="s">
        <v>600</v>
      </c>
      <c r="D33" s="158" t="s">
        <v>539</v>
      </c>
      <c r="G33" s="387">
        <v>2.4700000000000002</v>
      </c>
      <c r="H33" s="380"/>
    </row>
    <row r="34" spans="2:8">
      <c r="B34" s="38" t="s">
        <v>595</v>
      </c>
      <c r="D34" s="158" t="s">
        <v>505</v>
      </c>
      <c r="G34" s="387">
        <v>2.14</v>
      </c>
      <c r="H34" s="380"/>
    </row>
    <row r="35" spans="2:8">
      <c r="B35" s="38" t="s">
        <v>194</v>
      </c>
      <c r="D35" s="158"/>
      <c r="G35" s="387">
        <v>2.1</v>
      </c>
      <c r="H35" s="380"/>
    </row>
    <row r="36" spans="2:8">
      <c r="B36" s="38" t="s">
        <v>1653</v>
      </c>
      <c r="D36" s="158" t="s">
        <v>505</v>
      </c>
      <c r="E36" s="388">
        <v>215.87</v>
      </c>
      <c r="G36" s="387">
        <v>2.04</v>
      </c>
      <c r="H36" s="380"/>
    </row>
    <row r="37" spans="2:8">
      <c r="B37" s="38" t="s">
        <v>207</v>
      </c>
      <c r="D37" s="158" t="s">
        <v>539</v>
      </c>
      <c r="G37" s="387">
        <v>1.71</v>
      </c>
      <c r="H37" s="380"/>
    </row>
    <row r="38" spans="2:8">
      <c r="B38" s="38" t="s">
        <v>1595</v>
      </c>
      <c r="D38" s="158" t="s">
        <v>505</v>
      </c>
      <c r="G38" s="387">
        <v>1.08</v>
      </c>
      <c r="H38" s="380"/>
    </row>
    <row r="39" spans="2:8">
      <c r="B39" s="38" t="s">
        <v>1603</v>
      </c>
      <c r="D39" s="158"/>
      <c r="G39" s="387">
        <v>1.04</v>
      </c>
      <c r="H39" s="380"/>
    </row>
    <row r="40" spans="2:8">
      <c r="B40" s="38" t="s">
        <v>623</v>
      </c>
      <c r="D40" s="158" t="s">
        <v>536</v>
      </c>
      <c r="G40" s="387">
        <v>1.04</v>
      </c>
      <c r="H40" s="380"/>
    </row>
    <row r="41" spans="2:8">
      <c r="B41" s="38" t="s">
        <v>622</v>
      </c>
      <c r="D41" s="158" t="s">
        <v>505</v>
      </c>
      <c r="G41" s="387">
        <v>0.94</v>
      </c>
      <c r="H41" s="380"/>
    </row>
    <row r="42" spans="2:8">
      <c r="B42" s="38" t="s">
        <v>1456</v>
      </c>
      <c r="D42" s="158" t="s">
        <v>505</v>
      </c>
      <c r="G42" s="387">
        <v>0.87</v>
      </c>
      <c r="H42" s="380"/>
    </row>
    <row r="43" spans="2:8">
      <c r="B43" s="38" t="s">
        <v>1582</v>
      </c>
      <c r="D43" s="158" t="s">
        <v>539</v>
      </c>
      <c r="G43" s="387">
        <v>0.81</v>
      </c>
      <c r="H43" s="380"/>
    </row>
    <row r="44" spans="2:8">
      <c r="B44" s="38" t="s">
        <v>235</v>
      </c>
      <c r="D44" s="158" t="s">
        <v>539</v>
      </c>
      <c r="G44" s="387">
        <v>0.79</v>
      </c>
      <c r="H44" s="380"/>
    </row>
    <row r="45" spans="2:8">
      <c r="B45" s="38" t="s">
        <v>1575</v>
      </c>
      <c r="D45" s="158" t="s">
        <v>539</v>
      </c>
      <c r="G45" s="387">
        <v>0.78</v>
      </c>
      <c r="H45" s="380"/>
    </row>
    <row r="46" spans="2:8">
      <c r="B46" s="38" t="s">
        <v>222</v>
      </c>
      <c r="D46" s="158" t="s">
        <v>539</v>
      </c>
      <c r="G46" s="387">
        <v>0.75</v>
      </c>
      <c r="H46" s="380"/>
    </row>
    <row r="47" spans="2:8">
      <c r="B47" s="38" t="s">
        <v>1571</v>
      </c>
      <c r="D47" s="158" t="s">
        <v>536</v>
      </c>
      <c r="G47" s="387">
        <v>0.67</v>
      </c>
      <c r="H47" s="380"/>
    </row>
    <row r="48" spans="2:8">
      <c r="B48" s="38" t="s">
        <v>1656</v>
      </c>
      <c r="D48" s="158" t="s">
        <v>539</v>
      </c>
      <c r="G48" s="387">
        <v>0.67</v>
      </c>
      <c r="H48" s="380"/>
    </row>
    <row r="49" spans="2:8">
      <c r="B49" s="38" t="s">
        <v>1593</v>
      </c>
      <c r="D49" s="158"/>
      <c r="G49" s="387">
        <v>0.66</v>
      </c>
      <c r="H49" s="380"/>
    </row>
    <row r="50" spans="2:8">
      <c r="B50" s="38" t="s">
        <v>636</v>
      </c>
      <c r="D50" s="158"/>
      <c r="G50" s="387">
        <v>0.64</v>
      </c>
      <c r="H50" s="380"/>
    </row>
    <row r="51" spans="2:8">
      <c r="B51" s="38" t="s">
        <v>1452</v>
      </c>
      <c r="D51" s="158" t="s">
        <v>539</v>
      </c>
      <c r="G51" s="387">
        <v>0.51</v>
      </c>
      <c r="H51" s="380"/>
    </row>
    <row r="52" spans="2:8">
      <c r="B52" s="38" t="s">
        <v>626</v>
      </c>
      <c r="D52" s="158" t="s">
        <v>536</v>
      </c>
      <c r="G52" s="387">
        <v>0.37</v>
      </c>
      <c r="H52" s="380"/>
    </row>
    <row r="53" spans="2:8">
      <c r="B53" s="38" t="s">
        <v>236</v>
      </c>
      <c r="D53" s="158" t="s">
        <v>536</v>
      </c>
      <c r="G53" s="387">
        <v>0.3</v>
      </c>
      <c r="H53" s="380"/>
    </row>
    <row r="54" spans="2:8">
      <c r="B54" s="38" t="s">
        <v>541</v>
      </c>
      <c r="D54" s="158" t="s">
        <v>505</v>
      </c>
      <c r="G54" s="387">
        <v>0.24</v>
      </c>
      <c r="H54" s="380"/>
    </row>
    <row r="55" spans="2:8">
      <c r="B55" s="38" t="s">
        <v>1449</v>
      </c>
      <c r="D55" s="158" t="s">
        <v>505</v>
      </c>
      <c r="E55" s="388">
        <v>2500.75</v>
      </c>
      <c r="G55" s="387">
        <v>0.24</v>
      </c>
      <c r="H55" s="380"/>
    </row>
    <row r="56" spans="2:8">
      <c r="B56" s="38" t="s">
        <v>1605</v>
      </c>
      <c r="D56" s="158" t="s">
        <v>505</v>
      </c>
      <c r="G56" s="387">
        <v>0.23</v>
      </c>
      <c r="H56" s="380"/>
    </row>
    <row r="57" spans="2:8">
      <c r="B57" s="38" t="s">
        <v>1589</v>
      </c>
      <c r="D57" s="158" t="s">
        <v>539</v>
      </c>
      <c r="G57" s="387">
        <v>0.22</v>
      </c>
      <c r="H57" s="380"/>
    </row>
    <row r="58" spans="2:8">
      <c r="B58" s="38" t="s">
        <v>598</v>
      </c>
      <c r="D58" s="158" t="s">
        <v>536</v>
      </c>
      <c r="G58" s="387">
        <v>0.21</v>
      </c>
      <c r="H58" s="380"/>
    </row>
    <row r="59" spans="2:8">
      <c r="B59" s="38" t="s">
        <v>1459</v>
      </c>
      <c r="D59" s="158" t="s">
        <v>539</v>
      </c>
      <c r="G59" s="387">
        <v>0.19</v>
      </c>
      <c r="H59" s="380"/>
    </row>
    <row r="60" spans="2:8">
      <c r="B60" s="38" t="s">
        <v>203</v>
      </c>
      <c r="D60" s="158" t="s">
        <v>505</v>
      </c>
      <c r="G60" s="387">
        <v>0.19</v>
      </c>
      <c r="H60" s="380"/>
    </row>
    <row r="61" spans="2:8">
      <c r="B61" s="38" t="s">
        <v>633</v>
      </c>
      <c r="D61" s="158" t="s">
        <v>536</v>
      </c>
      <c r="G61" s="387">
        <v>0.15</v>
      </c>
      <c r="H61" s="380"/>
    </row>
    <row r="62" spans="2:8">
      <c r="B62" s="38" t="s">
        <v>612</v>
      </c>
      <c r="D62" s="158" t="s">
        <v>536</v>
      </c>
      <c r="G62" s="387">
        <v>0.15</v>
      </c>
      <c r="H62" s="380"/>
    </row>
    <row r="63" spans="2:8">
      <c r="B63" s="38" t="s">
        <v>613</v>
      </c>
      <c r="D63" s="158" t="s">
        <v>505</v>
      </c>
      <c r="G63" s="387">
        <v>0.14000000000000001</v>
      </c>
      <c r="H63" s="380"/>
    </row>
    <row r="64" spans="2:8">
      <c r="B64" s="38" t="s">
        <v>1619</v>
      </c>
      <c r="D64" s="158" t="s">
        <v>539</v>
      </c>
      <c r="G64" s="387">
        <v>0.14000000000000001</v>
      </c>
      <c r="H64" s="380"/>
    </row>
    <row r="65" spans="2:8">
      <c r="B65" s="38" t="s">
        <v>83</v>
      </c>
      <c r="D65" s="158" t="s">
        <v>505</v>
      </c>
      <c r="G65" s="387">
        <v>0.11</v>
      </c>
      <c r="H65" s="380"/>
    </row>
    <row r="66" spans="2:8">
      <c r="B66" s="38" t="s">
        <v>610</v>
      </c>
      <c r="D66" s="158"/>
      <c r="G66" s="387">
        <v>0.09</v>
      </c>
      <c r="H66" s="380"/>
    </row>
    <row r="67" spans="2:8">
      <c r="B67" s="38" t="s">
        <v>1614</v>
      </c>
      <c r="D67" s="158" t="s">
        <v>505</v>
      </c>
      <c r="G67" s="387">
        <v>0.08</v>
      </c>
      <c r="H67" s="380"/>
    </row>
    <row r="68" spans="2:8">
      <c r="B68" s="38" t="s">
        <v>1599</v>
      </c>
      <c r="D68" s="158" t="s">
        <v>505</v>
      </c>
      <c r="G68" s="387">
        <v>0.08</v>
      </c>
      <c r="H68" s="380"/>
    </row>
    <row r="69" spans="2:8">
      <c r="B69" s="38" t="s">
        <v>1616</v>
      </c>
      <c r="D69" s="158" t="s">
        <v>505</v>
      </c>
      <c r="G69" s="387">
        <v>7.0000000000000007E-2</v>
      </c>
      <c r="H69" s="380"/>
    </row>
    <row r="70" spans="2:8">
      <c r="B70" s="38" t="s">
        <v>1660</v>
      </c>
      <c r="D70" s="158" t="s">
        <v>505</v>
      </c>
      <c r="G70" s="387">
        <v>7.0000000000000007E-2</v>
      </c>
      <c r="H70" s="380"/>
    </row>
    <row r="71" spans="2:8">
      <c r="B71" s="38" t="s">
        <v>68</v>
      </c>
      <c r="D71" s="158" t="s">
        <v>505</v>
      </c>
      <c r="G71" s="387">
        <v>0.03</v>
      </c>
      <c r="H71" s="380"/>
    </row>
    <row r="72" spans="2:8">
      <c r="B72" s="38" t="s">
        <v>1098</v>
      </c>
      <c r="D72" s="158" t="s">
        <v>505</v>
      </c>
      <c r="G72" s="387">
        <v>0.03</v>
      </c>
      <c r="H72" s="380"/>
    </row>
    <row r="73" spans="2:8">
      <c r="B73" s="38" t="s">
        <v>594</v>
      </c>
      <c r="D73" s="158"/>
      <c r="G73" s="387">
        <v>0.02</v>
      </c>
      <c r="H73" s="380"/>
    </row>
    <row r="74" spans="2:8">
      <c r="B74" s="38" t="s">
        <v>1655</v>
      </c>
      <c r="D74" s="158" t="s">
        <v>505</v>
      </c>
      <c r="G74" s="387">
        <v>0.02</v>
      </c>
      <c r="H74" s="380"/>
    </row>
    <row r="75" spans="2:8">
      <c r="B75" s="38" t="s">
        <v>1657</v>
      </c>
      <c r="D75" s="158" t="s">
        <v>536</v>
      </c>
      <c r="G75" s="387">
        <v>0.02</v>
      </c>
      <c r="H75" s="380"/>
    </row>
    <row r="76" spans="2:8">
      <c r="B76" s="38" t="s">
        <v>1594</v>
      </c>
      <c r="D76" s="158" t="s">
        <v>536</v>
      </c>
      <c r="G76" s="387">
        <v>0.02</v>
      </c>
      <c r="H76" s="380"/>
    </row>
    <row r="77" spans="2:8">
      <c r="B77" s="38" t="s">
        <v>1587</v>
      </c>
      <c r="D77" s="158" t="s">
        <v>505</v>
      </c>
      <c r="G77" s="387">
        <v>0.02</v>
      </c>
      <c r="H77" s="380"/>
    </row>
    <row r="78" spans="2:8">
      <c r="B78" s="38" t="s">
        <v>592</v>
      </c>
      <c r="D78" s="158" t="s">
        <v>505</v>
      </c>
      <c r="G78" s="387">
        <v>0.01</v>
      </c>
      <c r="H78" s="380"/>
    </row>
    <row r="79" spans="2:8">
      <c r="B79" s="38" t="s">
        <v>1604</v>
      </c>
      <c r="D79" s="158" t="s">
        <v>539</v>
      </c>
      <c r="G79" s="387">
        <v>0.01</v>
      </c>
      <c r="H79" s="380"/>
    </row>
    <row r="80" spans="2:8">
      <c r="B80" s="38" t="s">
        <v>1651</v>
      </c>
      <c r="D80" s="158" t="s">
        <v>505</v>
      </c>
      <c r="G80" s="387">
        <v>0.01</v>
      </c>
      <c r="H80" s="380"/>
    </row>
    <row r="81" spans="2:8">
      <c r="B81" s="38" t="s">
        <v>1598</v>
      </c>
      <c r="D81" s="158" t="s">
        <v>536</v>
      </c>
      <c r="G81" s="387">
        <v>0.01</v>
      </c>
      <c r="H81" s="380"/>
    </row>
    <row r="82" spans="2:8">
      <c r="B82" s="38" t="s">
        <v>1652</v>
      </c>
      <c r="D82" s="158" t="s">
        <v>536</v>
      </c>
      <c r="G82" s="387">
        <v>0.01</v>
      </c>
      <c r="H82" s="380"/>
    </row>
    <row r="83" spans="2:8">
      <c r="B83" s="38" t="s">
        <v>1609</v>
      </c>
      <c r="D83" s="158"/>
      <c r="G83" s="387">
        <v>0.01</v>
      </c>
      <c r="H83" s="380"/>
    </row>
    <row r="84" spans="2:8">
      <c r="B84" s="38" t="s">
        <v>330</v>
      </c>
      <c r="D84" s="158" t="s">
        <v>505</v>
      </c>
      <c r="G84" s="387">
        <v>0.01</v>
      </c>
      <c r="H84" s="380"/>
    </row>
    <row r="85" spans="2:8">
      <c r="B85" s="38" t="s">
        <v>588</v>
      </c>
      <c r="D85" s="158"/>
      <c r="G85" s="387">
        <v>0</v>
      </c>
      <c r="H85" s="380"/>
    </row>
    <row r="86" spans="2:8">
      <c r="B86" s="38" t="s">
        <v>1597</v>
      </c>
      <c r="D86" s="158" t="s">
        <v>539</v>
      </c>
      <c r="G86" s="387">
        <v>0</v>
      </c>
      <c r="H86" s="380"/>
    </row>
    <row r="87" spans="2:8">
      <c r="B87" s="38" t="s">
        <v>1600</v>
      </c>
      <c r="D87" s="158"/>
      <c r="G87" s="387">
        <v>0</v>
      </c>
      <c r="H87" s="380"/>
    </row>
    <row r="88" spans="2:8">
      <c r="B88" s="38" t="s">
        <v>1617</v>
      </c>
      <c r="D88" s="158" t="s">
        <v>536</v>
      </c>
      <c r="G88" s="387">
        <v>0</v>
      </c>
      <c r="H88" s="380"/>
    </row>
  </sheetData>
  <hyperlinks>
    <hyperlink ref="B9" r:id="rId1" display="Macrotech Developers" xr:uid="{79AEF2B3-7926-42FD-8072-F1AFE0350E36}"/>
    <hyperlink ref="B11" r:id="rId2" xr:uid="{DF6FE482-3EB7-4779-9765-2B3B9FEC0E22}"/>
  </hyperlinks>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EE54D8-6F8E-45BE-9857-8E00588BEC34}">
  <dimension ref="A1:J54"/>
  <sheetViews>
    <sheetView topLeftCell="A46" workbookViewId="0">
      <selection activeCell="M3" sqref="M3"/>
    </sheetView>
  </sheetViews>
  <sheetFormatPr defaultRowHeight="14.45"/>
  <cols>
    <col min="1" max="1" width="14" customWidth="1"/>
    <col min="9" max="9" width="12.28515625" customWidth="1"/>
  </cols>
  <sheetData>
    <row r="1" spans="1:10" ht="57.95">
      <c r="A1" s="1344" t="s">
        <v>1769</v>
      </c>
      <c r="B1" s="1345" t="s">
        <v>1770</v>
      </c>
      <c r="C1" s="1345" t="s">
        <v>1771</v>
      </c>
      <c r="D1" s="1345" t="s">
        <v>1772</v>
      </c>
      <c r="E1" s="1345" t="s">
        <v>1773</v>
      </c>
      <c r="F1" s="1345" t="s">
        <v>1774</v>
      </c>
      <c r="G1" s="1345" t="s">
        <v>1775</v>
      </c>
      <c r="H1" s="1345" t="s">
        <v>1776</v>
      </c>
      <c r="I1" s="1346" t="s">
        <v>1777</v>
      </c>
      <c r="J1" s="296" t="s">
        <v>1778</v>
      </c>
    </row>
    <row r="2" spans="1:10" ht="43.5">
      <c r="A2" s="297" t="s">
        <v>1779</v>
      </c>
      <c r="B2" s="298" t="s">
        <v>564</v>
      </c>
      <c r="C2" s="298">
        <v>316</v>
      </c>
      <c r="D2" s="298">
        <v>1306.8599999999999</v>
      </c>
      <c r="E2" s="298">
        <v>1065.3499999999999</v>
      </c>
      <c r="F2" s="299">
        <v>412967.76</v>
      </c>
      <c r="G2" s="300">
        <v>336651</v>
      </c>
      <c r="H2" s="300">
        <v>-76317</v>
      </c>
      <c r="I2" s="301">
        <v>-18</v>
      </c>
      <c r="J2" s="1347" t="s">
        <v>74</v>
      </c>
    </row>
    <row r="3" spans="1:10" ht="57.95">
      <c r="A3" s="302" t="s">
        <v>1780</v>
      </c>
      <c r="B3" s="303" t="s">
        <v>1615</v>
      </c>
      <c r="C3" s="303">
        <v>1000</v>
      </c>
      <c r="D3" s="303">
        <v>256.91000000000003</v>
      </c>
      <c r="E3" s="303">
        <v>309.64999999999998</v>
      </c>
      <c r="F3" s="1348">
        <v>256910</v>
      </c>
      <c r="G3" s="304">
        <v>309650</v>
      </c>
      <c r="H3" s="304">
        <v>52740</v>
      </c>
      <c r="I3" s="305">
        <v>21</v>
      </c>
      <c r="J3" s="1347" t="s">
        <v>58</v>
      </c>
    </row>
    <row r="4" spans="1:10" ht="29.1">
      <c r="A4" s="306" t="s">
        <v>1781</v>
      </c>
      <c r="B4" s="307" t="s">
        <v>600</v>
      </c>
      <c r="C4" s="307">
        <v>485</v>
      </c>
      <c r="D4" s="307">
        <v>509.47</v>
      </c>
      <c r="E4" s="307">
        <v>318.14999999999998</v>
      </c>
      <c r="F4" s="307">
        <v>247092.95</v>
      </c>
      <c r="G4" s="308">
        <v>154303</v>
      </c>
      <c r="H4" s="308">
        <v>-92790</v>
      </c>
      <c r="I4" s="309">
        <v>-38</v>
      </c>
      <c r="J4" s="1347" t="s">
        <v>74</v>
      </c>
    </row>
    <row r="5" spans="1:10" ht="43.5">
      <c r="A5" s="310" t="s">
        <v>1782</v>
      </c>
      <c r="B5" s="311" t="s">
        <v>595</v>
      </c>
      <c r="C5" s="311">
        <v>1060</v>
      </c>
      <c r="D5" s="311">
        <v>201.75</v>
      </c>
      <c r="E5" s="311">
        <v>191.38</v>
      </c>
      <c r="F5" s="307">
        <v>213855</v>
      </c>
      <c r="G5" s="312">
        <v>202863</v>
      </c>
      <c r="H5" s="312">
        <v>-10992</v>
      </c>
      <c r="I5" s="313">
        <v>-5</v>
      </c>
      <c r="J5" s="1347" t="s">
        <v>74</v>
      </c>
    </row>
    <row r="6" spans="1:10" ht="43.5">
      <c r="A6" s="310" t="s">
        <v>1783</v>
      </c>
      <c r="B6" s="311" t="s">
        <v>194</v>
      </c>
      <c r="C6" s="311">
        <v>1000</v>
      </c>
      <c r="D6" s="311">
        <v>209.74</v>
      </c>
      <c r="E6" s="311">
        <v>172.95</v>
      </c>
      <c r="F6" s="307">
        <v>209740</v>
      </c>
      <c r="G6" s="312">
        <v>172950</v>
      </c>
      <c r="H6" s="312">
        <v>-36790</v>
      </c>
      <c r="I6" s="313">
        <v>-18</v>
      </c>
      <c r="J6" s="1347" t="s">
        <v>74</v>
      </c>
    </row>
    <row r="7" spans="1:10" ht="29.1">
      <c r="A7" s="306" t="s">
        <v>1784</v>
      </c>
      <c r="B7" s="307" t="s">
        <v>1653</v>
      </c>
      <c r="C7" s="307">
        <v>1000</v>
      </c>
      <c r="D7" s="307">
        <v>203.85</v>
      </c>
      <c r="E7" s="307">
        <v>178.75</v>
      </c>
      <c r="F7" s="307">
        <v>203850</v>
      </c>
      <c r="G7" s="308">
        <v>178750</v>
      </c>
      <c r="H7" s="308">
        <v>-25100</v>
      </c>
      <c r="I7" s="309">
        <v>-12</v>
      </c>
      <c r="J7" s="1347" t="s">
        <v>74</v>
      </c>
    </row>
    <row r="8" spans="1:10" ht="43.5">
      <c r="A8" s="314" t="s">
        <v>1785</v>
      </c>
      <c r="B8" s="315" t="s">
        <v>207</v>
      </c>
      <c r="C8" s="315">
        <v>232</v>
      </c>
      <c r="D8" s="315">
        <v>739.21</v>
      </c>
      <c r="E8" s="315">
        <v>667.9</v>
      </c>
      <c r="F8" s="1349">
        <v>171496.72</v>
      </c>
      <c r="G8" s="316">
        <v>154953</v>
      </c>
      <c r="H8" s="316">
        <v>-16544</v>
      </c>
      <c r="I8" s="317">
        <v>-10</v>
      </c>
      <c r="J8" s="1347" t="s">
        <v>58</v>
      </c>
    </row>
    <row r="9" spans="1:10" ht="43.5">
      <c r="A9" s="318" t="s">
        <v>1786</v>
      </c>
      <c r="B9" s="319" t="s">
        <v>1595</v>
      </c>
      <c r="C9" s="319">
        <v>500</v>
      </c>
      <c r="D9" s="319">
        <v>215.76</v>
      </c>
      <c r="E9" s="319">
        <v>350</v>
      </c>
      <c r="F9" s="319">
        <v>107880</v>
      </c>
      <c r="G9" s="320">
        <v>175000</v>
      </c>
      <c r="H9" s="320">
        <v>67120</v>
      </c>
      <c r="I9" s="321">
        <v>62</v>
      </c>
      <c r="J9" s="1347" t="s">
        <v>58</v>
      </c>
    </row>
    <row r="10" spans="1:10" ht="29.1">
      <c r="A10" s="322" t="s">
        <v>1787</v>
      </c>
      <c r="B10" s="323" t="s">
        <v>1603</v>
      </c>
      <c r="C10" s="323">
        <v>120</v>
      </c>
      <c r="D10" s="323">
        <v>865.25</v>
      </c>
      <c r="E10" s="323">
        <v>802</v>
      </c>
      <c r="F10" s="323">
        <v>103830</v>
      </c>
      <c r="G10" s="324">
        <v>96240</v>
      </c>
      <c r="H10" s="324">
        <v>-7590</v>
      </c>
      <c r="I10" s="325">
        <v>-7</v>
      </c>
      <c r="J10" s="1347" t="s">
        <v>74</v>
      </c>
    </row>
    <row r="11" spans="1:10" ht="29.1">
      <c r="A11" s="1350" t="s">
        <v>1788</v>
      </c>
      <c r="B11" s="1351" t="s">
        <v>622</v>
      </c>
      <c r="C11" s="1351">
        <v>100</v>
      </c>
      <c r="D11" s="1351">
        <v>938.95</v>
      </c>
      <c r="E11" s="1351">
        <v>936</v>
      </c>
      <c r="F11" s="1351">
        <v>93895</v>
      </c>
      <c r="G11" s="1352">
        <v>93600</v>
      </c>
      <c r="H11" s="1351">
        <v>-295</v>
      </c>
      <c r="I11" s="1353">
        <v>0</v>
      </c>
      <c r="J11" s="1347" t="s">
        <v>58</v>
      </c>
    </row>
    <row r="12" spans="1:10" ht="43.5">
      <c r="A12" s="318" t="s">
        <v>1789</v>
      </c>
      <c r="B12" s="319" t="s">
        <v>1456</v>
      </c>
      <c r="C12" s="319">
        <v>155</v>
      </c>
      <c r="D12" s="319">
        <v>562.21</v>
      </c>
      <c r="E12" s="319">
        <v>663.5</v>
      </c>
      <c r="F12" s="319">
        <v>87142.55</v>
      </c>
      <c r="G12" s="320">
        <v>102843</v>
      </c>
      <c r="H12" s="320">
        <v>15700</v>
      </c>
      <c r="I12" s="321">
        <v>18</v>
      </c>
      <c r="J12" s="326" t="s">
        <v>1778</v>
      </c>
    </row>
    <row r="13" spans="1:10" ht="43.5">
      <c r="A13" s="318" t="s">
        <v>1790</v>
      </c>
      <c r="B13" s="319" t="s">
        <v>1582</v>
      </c>
      <c r="C13" s="319">
        <v>36</v>
      </c>
      <c r="D13" s="319">
        <v>2259.6799999999998</v>
      </c>
      <c r="E13" s="319">
        <v>2329.8000000000002</v>
      </c>
      <c r="F13" s="319">
        <v>81348.479999999996</v>
      </c>
      <c r="G13" s="320">
        <v>83873</v>
      </c>
      <c r="H13" s="320">
        <v>2524</v>
      </c>
      <c r="I13" s="321">
        <v>3</v>
      </c>
      <c r="J13" s="326" t="s">
        <v>1778</v>
      </c>
    </row>
    <row r="14" spans="1:10" ht="29.1">
      <c r="A14" s="322" t="s">
        <v>1791</v>
      </c>
      <c r="B14" s="323" t="s">
        <v>235</v>
      </c>
      <c r="C14" s="323">
        <v>50</v>
      </c>
      <c r="D14" s="323">
        <v>1587.76</v>
      </c>
      <c r="E14" s="323">
        <v>1511.2</v>
      </c>
      <c r="F14" s="323">
        <v>79388</v>
      </c>
      <c r="G14" s="324">
        <v>75560</v>
      </c>
      <c r="H14" s="324">
        <v>-3828</v>
      </c>
      <c r="I14" s="325">
        <v>-5</v>
      </c>
      <c r="J14" s="327" t="s">
        <v>74</v>
      </c>
    </row>
    <row r="15" spans="1:10" ht="29.1">
      <c r="A15" s="318" t="s">
        <v>1792</v>
      </c>
      <c r="B15" s="319" t="s">
        <v>1575</v>
      </c>
      <c r="C15" s="319">
        <v>30</v>
      </c>
      <c r="D15" s="319">
        <v>2608.4699999999998</v>
      </c>
      <c r="E15" s="319">
        <v>3266.5</v>
      </c>
      <c r="F15" s="319">
        <v>78254.100000000006</v>
      </c>
      <c r="G15" s="320">
        <v>97995</v>
      </c>
      <c r="H15" s="320">
        <v>19741</v>
      </c>
      <c r="I15" s="321">
        <v>25</v>
      </c>
      <c r="J15" s="326" t="s">
        <v>1778</v>
      </c>
    </row>
    <row r="16" spans="1:10" ht="43.5">
      <c r="A16" s="318" t="s">
        <v>1793</v>
      </c>
      <c r="B16" s="319" t="s">
        <v>222</v>
      </c>
      <c r="C16" s="319">
        <v>60</v>
      </c>
      <c r="D16" s="319">
        <v>1248.69</v>
      </c>
      <c r="E16" s="319">
        <v>1337.8</v>
      </c>
      <c r="F16" s="319">
        <v>74921.399999999994</v>
      </c>
      <c r="G16" s="320">
        <v>80268</v>
      </c>
      <c r="H16" s="320">
        <v>5347</v>
      </c>
      <c r="I16" s="321">
        <v>7</v>
      </c>
      <c r="J16" s="326" t="s">
        <v>1778</v>
      </c>
    </row>
    <row r="17" spans="1:10" ht="29.1">
      <c r="A17" s="318" t="s">
        <v>1794</v>
      </c>
      <c r="B17" s="319" t="s">
        <v>1571</v>
      </c>
      <c r="C17" s="319">
        <v>10</v>
      </c>
      <c r="D17" s="319">
        <v>6695.69</v>
      </c>
      <c r="E17" s="319">
        <v>6820.15</v>
      </c>
      <c r="F17" s="319">
        <v>66956.899999999994</v>
      </c>
      <c r="G17" s="320">
        <v>68202</v>
      </c>
      <c r="H17" s="320">
        <v>1245</v>
      </c>
      <c r="I17" s="321">
        <v>2</v>
      </c>
      <c r="J17" s="326" t="s">
        <v>1778</v>
      </c>
    </row>
    <row r="18" spans="1:10" ht="43.5">
      <c r="A18" s="1350" t="s">
        <v>1795</v>
      </c>
      <c r="B18" s="1351" t="s">
        <v>1656</v>
      </c>
      <c r="C18" s="1351">
        <v>62</v>
      </c>
      <c r="D18" s="1351">
        <v>1074.6099999999999</v>
      </c>
      <c r="E18" s="1351">
        <v>1058.4000000000001</v>
      </c>
      <c r="F18" s="1351">
        <v>66625.820000000007</v>
      </c>
      <c r="G18" s="1352">
        <v>65621</v>
      </c>
      <c r="H18" s="1352">
        <v>-1005</v>
      </c>
      <c r="I18" s="1353">
        <v>-2</v>
      </c>
      <c r="J18" s="326" t="s">
        <v>1778</v>
      </c>
    </row>
    <row r="19" spans="1:10" ht="43.5">
      <c r="A19" s="1350" t="s">
        <v>1670</v>
      </c>
      <c r="B19" s="1351" t="s">
        <v>1593</v>
      </c>
      <c r="C19" s="1351">
        <v>150</v>
      </c>
      <c r="D19" s="1351">
        <v>439.07</v>
      </c>
      <c r="E19" s="1351">
        <v>414.25</v>
      </c>
      <c r="F19" s="1351">
        <v>65860.5</v>
      </c>
      <c r="G19" s="1352">
        <v>62138</v>
      </c>
      <c r="H19" s="1352">
        <v>-3723</v>
      </c>
      <c r="I19" s="1353">
        <v>-6</v>
      </c>
      <c r="J19" s="326" t="s">
        <v>1778</v>
      </c>
    </row>
    <row r="20" spans="1:10" ht="29.1">
      <c r="A20" s="322" t="s">
        <v>1796</v>
      </c>
      <c r="B20" s="323" t="s">
        <v>636</v>
      </c>
      <c r="C20" s="323">
        <v>33</v>
      </c>
      <c r="D20" s="323">
        <v>1937.65</v>
      </c>
      <c r="E20" s="323">
        <v>1824.25</v>
      </c>
      <c r="F20" s="323">
        <v>63942.45</v>
      </c>
      <c r="G20" s="324">
        <v>60200</v>
      </c>
      <c r="H20" s="324">
        <v>-3742</v>
      </c>
      <c r="I20" s="325">
        <v>-6</v>
      </c>
      <c r="J20" s="326" t="s">
        <v>1778</v>
      </c>
    </row>
    <row r="21" spans="1:10" ht="43.5">
      <c r="A21" s="318" t="s">
        <v>1797</v>
      </c>
      <c r="B21" s="319" t="s">
        <v>1587</v>
      </c>
      <c r="C21" s="319">
        <v>30</v>
      </c>
      <c r="D21" s="319">
        <v>1582.26</v>
      </c>
      <c r="E21" s="319">
        <v>1904.2</v>
      </c>
      <c r="F21" s="319">
        <v>47467.8</v>
      </c>
      <c r="G21" s="320">
        <v>57126</v>
      </c>
      <c r="H21" s="320">
        <v>9658</v>
      </c>
      <c r="I21" s="321">
        <v>20</v>
      </c>
      <c r="J21" s="327" t="s">
        <v>74</v>
      </c>
    </row>
    <row r="22" spans="1:10" ht="29.1">
      <c r="A22" s="328" t="s">
        <v>1798</v>
      </c>
      <c r="B22" s="329" t="s">
        <v>1617</v>
      </c>
      <c r="C22" s="329">
        <v>5</v>
      </c>
      <c r="D22" s="329">
        <v>7653.08</v>
      </c>
      <c r="E22" s="329">
        <v>6938.05</v>
      </c>
      <c r="F22" s="329">
        <v>38265.4</v>
      </c>
      <c r="G22" s="330">
        <v>34690</v>
      </c>
      <c r="H22" s="330">
        <v>-3575</v>
      </c>
      <c r="I22" s="331">
        <v>-9</v>
      </c>
      <c r="J22" s="327" t="s">
        <v>74</v>
      </c>
    </row>
    <row r="23" spans="1:10" ht="29.1">
      <c r="A23" s="322" t="s">
        <v>1799</v>
      </c>
      <c r="B23" s="323" t="s">
        <v>626</v>
      </c>
      <c r="C23" s="323">
        <v>10</v>
      </c>
      <c r="D23" s="323">
        <v>3650.92</v>
      </c>
      <c r="E23" s="323">
        <v>3519.45</v>
      </c>
      <c r="F23" s="323">
        <v>36509.199999999997</v>
      </c>
      <c r="G23" s="324">
        <v>35195</v>
      </c>
      <c r="H23" s="324">
        <v>-1315</v>
      </c>
      <c r="I23" s="325">
        <v>-4</v>
      </c>
      <c r="J23" s="326" t="s">
        <v>1778</v>
      </c>
    </row>
    <row r="24" spans="1:10" ht="57.95">
      <c r="A24" s="322" t="s">
        <v>1800</v>
      </c>
      <c r="B24" s="323" t="s">
        <v>236</v>
      </c>
      <c r="C24" s="323">
        <v>80</v>
      </c>
      <c r="D24" s="323">
        <v>379.08</v>
      </c>
      <c r="E24" s="323">
        <v>273.60000000000002</v>
      </c>
      <c r="F24" s="323">
        <v>30326.400000000001</v>
      </c>
      <c r="G24" s="324">
        <v>21888</v>
      </c>
      <c r="H24" s="324">
        <v>-8438</v>
      </c>
      <c r="I24" s="325">
        <v>-28</v>
      </c>
      <c r="J24" s="326" t="s">
        <v>1778</v>
      </c>
    </row>
    <row r="25" spans="1:10" ht="43.5">
      <c r="A25" s="318" t="s">
        <v>1801</v>
      </c>
      <c r="B25" s="319" t="s">
        <v>1619</v>
      </c>
      <c r="C25" s="319">
        <v>60</v>
      </c>
      <c r="D25" s="319">
        <v>450.35</v>
      </c>
      <c r="E25" s="319">
        <v>606.29999999999995</v>
      </c>
      <c r="F25" s="319">
        <v>27021</v>
      </c>
      <c r="G25" s="320">
        <v>36378</v>
      </c>
      <c r="H25" s="320">
        <v>9357</v>
      </c>
      <c r="I25" s="321">
        <v>35</v>
      </c>
      <c r="J25" s="326" t="s">
        <v>1778</v>
      </c>
    </row>
    <row r="26" spans="1:10" ht="43.5">
      <c r="A26" s="322" t="s">
        <v>1802</v>
      </c>
      <c r="B26" s="323" t="s">
        <v>1605</v>
      </c>
      <c r="C26" s="323">
        <v>130</v>
      </c>
      <c r="D26" s="323">
        <v>173.49</v>
      </c>
      <c r="E26" s="323">
        <v>179.42</v>
      </c>
      <c r="F26" s="323">
        <v>22553.7</v>
      </c>
      <c r="G26" s="324">
        <v>23325</v>
      </c>
      <c r="H26" s="323">
        <v>771</v>
      </c>
      <c r="I26" s="325">
        <v>3</v>
      </c>
      <c r="J26" s="326" t="s">
        <v>1778</v>
      </c>
    </row>
    <row r="27" spans="1:10" ht="43.5">
      <c r="A27" s="332" t="s">
        <v>1803</v>
      </c>
      <c r="B27" s="333" t="s">
        <v>1589</v>
      </c>
      <c r="C27" s="333">
        <v>25</v>
      </c>
      <c r="D27" s="333">
        <v>875.5</v>
      </c>
      <c r="E27" s="333">
        <v>860.05</v>
      </c>
      <c r="F27" s="333">
        <v>21887.5</v>
      </c>
      <c r="G27" s="334">
        <v>21501</v>
      </c>
      <c r="H27" s="333">
        <v>-386</v>
      </c>
      <c r="I27" s="335">
        <v>-2</v>
      </c>
      <c r="J27" s="327" t="s">
        <v>1778</v>
      </c>
    </row>
    <row r="28" spans="1:10" ht="29.1">
      <c r="A28" s="322" t="s">
        <v>1681</v>
      </c>
      <c r="B28" s="323" t="s">
        <v>1459</v>
      </c>
      <c r="C28" s="323">
        <v>50</v>
      </c>
      <c r="D28" s="323">
        <v>388.12</v>
      </c>
      <c r="E28" s="323">
        <v>361.65</v>
      </c>
      <c r="F28" s="323">
        <v>19406</v>
      </c>
      <c r="G28" s="324">
        <v>18083</v>
      </c>
      <c r="H28" s="324">
        <v>-1324</v>
      </c>
      <c r="I28" s="325">
        <v>-7</v>
      </c>
      <c r="J28" s="326" t="s">
        <v>1778</v>
      </c>
    </row>
    <row r="29" spans="1:10" ht="43.5">
      <c r="A29" s="322" t="s">
        <v>1804</v>
      </c>
      <c r="B29" s="323" t="s">
        <v>203</v>
      </c>
      <c r="C29" s="323">
        <v>51</v>
      </c>
      <c r="D29" s="323">
        <v>371.32</v>
      </c>
      <c r="E29" s="323">
        <v>347.25</v>
      </c>
      <c r="F29" s="323">
        <v>18937.32</v>
      </c>
      <c r="G29" s="324">
        <v>17710</v>
      </c>
      <c r="H29" s="324">
        <v>-1228</v>
      </c>
      <c r="I29" s="325">
        <v>-6</v>
      </c>
      <c r="J29" s="326" t="s">
        <v>1778</v>
      </c>
    </row>
    <row r="30" spans="1:10" ht="43.5">
      <c r="A30" s="322" t="s">
        <v>1805</v>
      </c>
      <c r="B30" s="323" t="s">
        <v>613</v>
      </c>
      <c r="C30" s="323">
        <v>50</v>
      </c>
      <c r="D30" s="323">
        <v>272.97000000000003</v>
      </c>
      <c r="E30" s="323">
        <v>249.83</v>
      </c>
      <c r="F30" s="323">
        <v>13648.5</v>
      </c>
      <c r="G30" s="324">
        <v>12492</v>
      </c>
      <c r="H30" s="324">
        <v>-1157</v>
      </c>
      <c r="I30" s="325">
        <v>-8</v>
      </c>
      <c r="J30" s="326" t="s">
        <v>1778</v>
      </c>
    </row>
    <row r="31" spans="1:10" ht="29.1">
      <c r="A31" s="322" t="s">
        <v>1806</v>
      </c>
      <c r="B31" s="323" t="s">
        <v>1600</v>
      </c>
      <c r="C31" s="323">
        <v>2</v>
      </c>
      <c r="D31" s="323">
        <v>5870.7</v>
      </c>
      <c r="E31" s="323">
        <v>5440</v>
      </c>
      <c r="F31" s="323">
        <v>11741.4</v>
      </c>
      <c r="G31" s="324">
        <v>10880</v>
      </c>
      <c r="H31" s="323">
        <v>-861</v>
      </c>
      <c r="I31" s="325">
        <v>-7</v>
      </c>
      <c r="J31" s="326" t="s">
        <v>1778</v>
      </c>
    </row>
    <row r="32" spans="1:10" ht="43.5">
      <c r="A32" s="318" t="s">
        <v>1664</v>
      </c>
      <c r="B32" s="319" t="s">
        <v>83</v>
      </c>
      <c r="C32" s="319">
        <v>200</v>
      </c>
      <c r="D32" s="319">
        <v>53.09</v>
      </c>
      <c r="E32" s="319">
        <v>62.55</v>
      </c>
      <c r="F32" s="319">
        <v>10618</v>
      </c>
      <c r="G32" s="320">
        <v>12510</v>
      </c>
      <c r="H32" s="320">
        <v>1892</v>
      </c>
      <c r="I32" s="321">
        <v>18</v>
      </c>
      <c r="J32" s="326" t="s">
        <v>1778</v>
      </c>
    </row>
    <row r="33" spans="1:10" ht="29.1">
      <c r="A33" s="322" t="s">
        <v>1807</v>
      </c>
      <c r="B33" s="323" t="s">
        <v>610</v>
      </c>
      <c r="C33" s="323">
        <v>14</v>
      </c>
      <c r="D33" s="323">
        <v>675.85</v>
      </c>
      <c r="E33" s="323">
        <v>495</v>
      </c>
      <c r="F33" s="323">
        <v>9461.9</v>
      </c>
      <c r="G33" s="324">
        <v>6930</v>
      </c>
      <c r="H33" s="324">
        <v>-2532</v>
      </c>
      <c r="I33" s="325">
        <v>-27</v>
      </c>
      <c r="J33" s="326" t="s">
        <v>1778</v>
      </c>
    </row>
    <row r="34" spans="1:10" ht="43.5">
      <c r="A34" s="318" t="s">
        <v>1808</v>
      </c>
      <c r="B34" s="319" t="s">
        <v>1614</v>
      </c>
      <c r="C34" s="319">
        <v>5</v>
      </c>
      <c r="D34" s="319">
        <v>1684.16</v>
      </c>
      <c r="E34" s="319">
        <v>1943.2</v>
      </c>
      <c r="F34" s="319">
        <v>8420.7999999999993</v>
      </c>
      <c r="G34" s="320">
        <v>9716</v>
      </c>
      <c r="H34" s="320">
        <v>1295</v>
      </c>
      <c r="I34" s="321">
        <v>15</v>
      </c>
      <c r="J34" s="326" t="s">
        <v>1778</v>
      </c>
    </row>
    <row r="35" spans="1:10" ht="29.1">
      <c r="A35" s="322" t="s">
        <v>1809</v>
      </c>
      <c r="B35" s="323" t="s">
        <v>1599</v>
      </c>
      <c r="C35" s="323">
        <v>100</v>
      </c>
      <c r="D35" s="323">
        <v>75.62</v>
      </c>
      <c r="E35" s="323">
        <v>72.010000000000005</v>
      </c>
      <c r="F35" s="323">
        <v>7562</v>
      </c>
      <c r="G35" s="324">
        <v>7201</v>
      </c>
      <c r="H35" s="323">
        <v>-361</v>
      </c>
      <c r="I35" s="325">
        <v>-5</v>
      </c>
      <c r="J35" s="326" t="s">
        <v>1778</v>
      </c>
    </row>
    <row r="36" spans="1:10" ht="29.1">
      <c r="A36" s="322" t="s">
        <v>1810</v>
      </c>
      <c r="B36" s="323" t="s">
        <v>612</v>
      </c>
      <c r="C36" s="323">
        <v>40</v>
      </c>
      <c r="D36" s="323">
        <v>187.81</v>
      </c>
      <c r="E36" s="323">
        <v>174.75</v>
      </c>
      <c r="F36" s="323">
        <v>7512.4</v>
      </c>
      <c r="G36" s="324">
        <v>6990</v>
      </c>
      <c r="H36" s="323">
        <v>-522</v>
      </c>
      <c r="I36" s="325">
        <v>-7</v>
      </c>
      <c r="J36" s="326" t="s">
        <v>1778</v>
      </c>
    </row>
    <row r="37" spans="1:10" ht="43.5">
      <c r="A37" s="322" t="s">
        <v>1811</v>
      </c>
      <c r="B37" s="323" t="s">
        <v>1616</v>
      </c>
      <c r="C37" s="323">
        <v>6</v>
      </c>
      <c r="D37" s="323">
        <v>1223.33</v>
      </c>
      <c r="E37" s="323">
        <v>1245.7</v>
      </c>
      <c r="F37" s="323">
        <v>7339.98</v>
      </c>
      <c r="G37" s="324">
        <v>7474</v>
      </c>
      <c r="H37" s="323">
        <v>134</v>
      </c>
      <c r="I37" s="325">
        <v>2</v>
      </c>
      <c r="J37" s="326" t="s">
        <v>1778</v>
      </c>
    </row>
    <row r="38" spans="1:10" ht="43.5">
      <c r="A38" s="322" t="s">
        <v>1812</v>
      </c>
      <c r="B38" s="323" t="s">
        <v>1660</v>
      </c>
      <c r="C38" s="323">
        <v>20</v>
      </c>
      <c r="D38" s="323">
        <v>366.02</v>
      </c>
      <c r="E38" s="323">
        <v>345.4</v>
      </c>
      <c r="F38" s="323">
        <v>7320.4</v>
      </c>
      <c r="G38" s="324">
        <v>6908</v>
      </c>
      <c r="H38" s="323">
        <v>-412</v>
      </c>
      <c r="I38" s="325">
        <v>-6</v>
      </c>
      <c r="J38" s="326" t="s">
        <v>1778</v>
      </c>
    </row>
    <row r="39" spans="1:10" ht="29.1">
      <c r="A39" s="322" t="s">
        <v>1813</v>
      </c>
      <c r="B39" s="323" t="s">
        <v>68</v>
      </c>
      <c r="C39" s="323">
        <v>2</v>
      </c>
      <c r="D39" s="323">
        <v>1344.51</v>
      </c>
      <c r="E39" s="323">
        <v>1392.4</v>
      </c>
      <c r="F39" s="323">
        <v>2689.02</v>
      </c>
      <c r="G39" s="324">
        <v>2785</v>
      </c>
      <c r="H39" s="323">
        <v>96</v>
      </c>
      <c r="I39" s="325">
        <v>4</v>
      </c>
      <c r="J39" s="326" t="s">
        <v>1778</v>
      </c>
    </row>
    <row r="40" spans="1:10" ht="43.5">
      <c r="A40" s="1350" t="s">
        <v>1814</v>
      </c>
      <c r="B40" s="1351" t="s">
        <v>1098</v>
      </c>
      <c r="C40" s="1351">
        <v>3</v>
      </c>
      <c r="D40" s="1351">
        <v>869.38</v>
      </c>
      <c r="E40" s="1351">
        <v>801.6</v>
      </c>
      <c r="F40" s="1351">
        <v>2608.14</v>
      </c>
      <c r="G40" s="1352">
        <v>2405</v>
      </c>
      <c r="H40" s="1351">
        <v>-203</v>
      </c>
      <c r="I40" s="1353">
        <v>-8</v>
      </c>
      <c r="J40" s="326" t="s">
        <v>1778</v>
      </c>
    </row>
    <row r="41" spans="1:10" ht="43.5">
      <c r="A41" s="322" t="s">
        <v>1815</v>
      </c>
      <c r="B41" s="323" t="s">
        <v>594</v>
      </c>
      <c r="C41" s="323">
        <v>1</v>
      </c>
      <c r="D41" s="323">
        <v>2388.44</v>
      </c>
      <c r="E41" s="323">
        <v>1875.85</v>
      </c>
      <c r="F41" s="323">
        <v>2388.44</v>
      </c>
      <c r="G41" s="324">
        <v>1876</v>
      </c>
      <c r="H41" s="323">
        <v>-513</v>
      </c>
      <c r="I41" s="325">
        <v>-21</v>
      </c>
      <c r="J41" s="326" t="s">
        <v>1778</v>
      </c>
    </row>
    <row r="42" spans="1:10" ht="43.5">
      <c r="A42" s="322" t="s">
        <v>1816</v>
      </c>
      <c r="B42" s="323" t="s">
        <v>1655</v>
      </c>
      <c r="C42" s="323">
        <v>15</v>
      </c>
      <c r="D42" s="323">
        <v>139.37</v>
      </c>
      <c r="E42" s="323">
        <v>147.44999999999999</v>
      </c>
      <c r="F42" s="323">
        <v>2090.5500000000002</v>
      </c>
      <c r="G42" s="324">
        <v>2212</v>
      </c>
      <c r="H42" s="323">
        <v>121</v>
      </c>
      <c r="I42" s="325">
        <v>6</v>
      </c>
      <c r="J42" s="326" t="s">
        <v>1778</v>
      </c>
    </row>
    <row r="43" spans="1:10">
      <c r="A43" s="322" t="s">
        <v>1817</v>
      </c>
      <c r="B43" s="323" t="s">
        <v>1657</v>
      </c>
      <c r="C43" s="323">
        <v>19</v>
      </c>
      <c r="D43" s="323">
        <v>104.37</v>
      </c>
      <c r="E43" s="323">
        <v>102.38</v>
      </c>
      <c r="F43" s="323">
        <v>1983.03</v>
      </c>
      <c r="G43" s="324">
        <v>1945</v>
      </c>
      <c r="H43" s="323">
        <v>-38</v>
      </c>
      <c r="I43" s="325">
        <v>-2</v>
      </c>
      <c r="J43" s="326" t="s">
        <v>1778</v>
      </c>
    </row>
    <row r="44" spans="1:10" ht="29.1">
      <c r="A44" s="322" t="s">
        <v>1818</v>
      </c>
      <c r="B44" s="323" t="s">
        <v>1594</v>
      </c>
      <c r="C44" s="323">
        <v>1</v>
      </c>
      <c r="D44" s="323">
        <v>1619.73</v>
      </c>
      <c r="E44" s="323">
        <v>1746.2</v>
      </c>
      <c r="F44" s="323">
        <v>1619.73</v>
      </c>
      <c r="G44" s="324">
        <v>1746</v>
      </c>
      <c r="H44" s="323">
        <v>126</v>
      </c>
      <c r="I44" s="325">
        <v>8</v>
      </c>
      <c r="J44" s="326" t="s">
        <v>1778</v>
      </c>
    </row>
    <row r="45" spans="1:10" ht="43.5">
      <c r="A45" s="322" t="s">
        <v>1819</v>
      </c>
      <c r="B45" s="323" t="s">
        <v>592</v>
      </c>
      <c r="C45" s="323">
        <v>1</v>
      </c>
      <c r="D45" s="323">
        <v>1445.91</v>
      </c>
      <c r="E45" s="323">
        <v>1340.5</v>
      </c>
      <c r="F45" s="323">
        <v>1445.91</v>
      </c>
      <c r="G45" s="324">
        <v>1341</v>
      </c>
      <c r="H45" s="323">
        <v>-105</v>
      </c>
      <c r="I45" s="325">
        <v>-7</v>
      </c>
      <c r="J45" s="326" t="s">
        <v>1778</v>
      </c>
    </row>
    <row r="46" spans="1:10" ht="29.1">
      <c r="A46" s="322" t="s">
        <v>1820</v>
      </c>
      <c r="B46" s="323" t="s">
        <v>1604</v>
      </c>
      <c r="C46" s="323">
        <v>1</v>
      </c>
      <c r="D46" s="323">
        <v>1396.94</v>
      </c>
      <c r="E46" s="323">
        <v>1489.3</v>
      </c>
      <c r="F46" s="323">
        <v>1396.94</v>
      </c>
      <c r="G46" s="324">
        <v>1489</v>
      </c>
      <c r="H46" s="323">
        <v>92</v>
      </c>
      <c r="I46" s="325">
        <v>7</v>
      </c>
      <c r="J46" s="326" t="s">
        <v>1778</v>
      </c>
    </row>
    <row r="47" spans="1:10" ht="29.1">
      <c r="A47" s="322" t="s">
        <v>1821</v>
      </c>
      <c r="B47" s="323" t="s">
        <v>1651</v>
      </c>
      <c r="C47" s="323">
        <v>5</v>
      </c>
      <c r="D47" s="323">
        <v>272.87</v>
      </c>
      <c r="E47" s="323">
        <v>311.10000000000002</v>
      </c>
      <c r="F47" s="323">
        <v>1364.35</v>
      </c>
      <c r="G47" s="324">
        <v>1556</v>
      </c>
      <c r="H47" s="323">
        <v>191</v>
      </c>
      <c r="I47" s="325">
        <v>14</v>
      </c>
      <c r="J47" s="326" t="s">
        <v>1778</v>
      </c>
    </row>
    <row r="48" spans="1:10" ht="29.1">
      <c r="A48" s="322" t="s">
        <v>1822</v>
      </c>
      <c r="B48" s="323" t="s">
        <v>1598</v>
      </c>
      <c r="C48" s="323">
        <v>1</v>
      </c>
      <c r="D48" s="323">
        <v>1179.07</v>
      </c>
      <c r="E48" s="323">
        <v>1318.05</v>
      </c>
      <c r="F48" s="323">
        <v>1179.07</v>
      </c>
      <c r="G48" s="324">
        <v>1318</v>
      </c>
      <c r="H48" s="323">
        <v>139</v>
      </c>
      <c r="I48" s="325">
        <v>12</v>
      </c>
      <c r="J48" s="326" t="s">
        <v>1778</v>
      </c>
    </row>
    <row r="49" spans="1:10" ht="43.5">
      <c r="A49" s="322" t="s">
        <v>1823</v>
      </c>
      <c r="B49" s="323" t="s">
        <v>1652</v>
      </c>
      <c r="C49" s="323">
        <v>1</v>
      </c>
      <c r="D49" s="323">
        <v>1113.23</v>
      </c>
      <c r="E49" s="323">
        <v>1573.7</v>
      </c>
      <c r="F49" s="323">
        <v>1113.23</v>
      </c>
      <c r="G49" s="324">
        <v>1574</v>
      </c>
      <c r="H49" s="323">
        <v>460</v>
      </c>
      <c r="I49" s="325">
        <v>41</v>
      </c>
      <c r="J49" s="326" t="s">
        <v>1778</v>
      </c>
    </row>
    <row r="50" spans="1:10" ht="29.1">
      <c r="A50" s="322" t="s">
        <v>1824</v>
      </c>
      <c r="B50" s="323" t="s">
        <v>1609</v>
      </c>
      <c r="C50" s="323">
        <v>1</v>
      </c>
      <c r="D50" s="323">
        <v>633.96</v>
      </c>
      <c r="E50" s="323">
        <v>639.95000000000005</v>
      </c>
      <c r="F50" s="323">
        <v>633.96</v>
      </c>
      <c r="G50" s="323">
        <v>640</v>
      </c>
      <c r="H50" s="323">
        <v>6</v>
      </c>
      <c r="I50" s="325">
        <v>1</v>
      </c>
      <c r="J50" s="326" t="s">
        <v>1778</v>
      </c>
    </row>
    <row r="51" spans="1:10" ht="43.5">
      <c r="A51" s="322" t="s">
        <v>1825</v>
      </c>
      <c r="B51" s="323" t="s">
        <v>330</v>
      </c>
      <c r="C51" s="323">
        <v>1</v>
      </c>
      <c r="D51" s="323">
        <v>591.99</v>
      </c>
      <c r="E51" s="323">
        <v>644.75</v>
      </c>
      <c r="F51" s="323">
        <v>591.99</v>
      </c>
      <c r="G51" s="323">
        <v>645</v>
      </c>
      <c r="H51" s="323">
        <v>53</v>
      </c>
      <c r="I51" s="325">
        <v>9</v>
      </c>
      <c r="J51" s="326" t="s">
        <v>1778</v>
      </c>
    </row>
    <row r="52" spans="1:10" ht="43.5">
      <c r="A52" s="322" t="s">
        <v>1826</v>
      </c>
      <c r="B52" s="323" t="s">
        <v>588</v>
      </c>
      <c r="C52" s="323">
        <v>10</v>
      </c>
      <c r="D52" s="323">
        <v>27.17</v>
      </c>
      <c r="E52" s="323">
        <v>25.08</v>
      </c>
      <c r="F52" s="323">
        <v>271.7</v>
      </c>
      <c r="G52" s="323">
        <v>251</v>
      </c>
      <c r="H52" s="323">
        <v>-21</v>
      </c>
      <c r="I52" s="325">
        <v>-8</v>
      </c>
      <c r="J52" s="326" t="s">
        <v>1778</v>
      </c>
    </row>
    <row r="53" spans="1:10" ht="43.5">
      <c r="A53" s="322" t="s">
        <v>1827</v>
      </c>
      <c r="B53" s="323" t="s">
        <v>1597</v>
      </c>
      <c r="C53" s="323">
        <v>1</v>
      </c>
      <c r="D53" s="323">
        <v>196.7</v>
      </c>
      <c r="E53" s="323">
        <v>198</v>
      </c>
      <c r="F53" s="323">
        <v>196.7</v>
      </c>
      <c r="G53" s="323">
        <v>198</v>
      </c>
      <c r="H53" s="323">
        <v>1</v>
      </c>
      <c r="I53" s="325">
        <v>1</v>
      </c>
      <c r="J53" s="326" t="s">
        <v>1778</v>
      </c>
    </row>
    <row r="54" spans="1:10" ht="57.95">
      <c r="A54" s="318" t="s">
        <v>1828</v>
      </c>
      <c r="B54" s="319" t="s">
        <v>1449</v>
      </c>
      <c r="C54" s="319">
        <v>100</v>
      </c>
      <c r="D54" s="319">
        <v>478.43</v>
      </c>
      <c r="E54" s="319">
        <v>789.35</v>
      </c>
      <c r="F54" s="319" t="s">
        <v>1778</v>
      </c>
      <c r="G54" s="320">
        <v>78935</v>
      </c>
      <c r="H54" s="320">
        <v>35000</v>
      </c>
      <c r="I54" s="321">
        <v>65</v>
      </c>
      <c r="J54" s="326" t="s">
        <v>1778</v>
      </c>
    </row>
  </sheetData>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4B1808-15EA-478C-B8A1-7F460560DEE7}">
  <dimension ref="A1:G56"/>
  <sheetViews>
    <sheetView workbookViewId="0">
      <pane ySplit="1" topLeftCell="A18" activePane="bottomLeft" state="frozen"/>
      <selection pane="bottomLeft" activeCell="K15" sqref="K15"/>
    </sheetView>
  </sheetViews>
  <sheetFormatPr defaultRowHeight="14.45"/>
  <cols>
    <col min="1" max="1" width="29.42578125" style="84" customWidth="1"/>
    <col min="2" max="2" width="16.7109375" style="283" customWidth="1"/>
    <col min="3" max="3" width="23" style="84" customWidth="1"/>
    <col min="4" max="4" width="22" style="87" customWidth="1"/>
    <col min="5" max="5" width="22.7109375" style="84" customWidth="1"/>
    <col min="6" max="6" width="19.7109375" style="83" customWidth="1"/>
    <col min="7" max="7" width="17.28515625" style="83" customWidth="1"/>
  </cols>
  <sheetData>
    <row r="1" spans="1:7" s="156" customFormat="1" ht="29.1">
      <c r="A1" s="170" t="s">
        <v>1829</v>
      </c>
      <c r="B1" s="170" t="s">
        <v>1830</v>
      </c>
      <c r="C1" s="170" t="s">
        <v>1419</v>
      </c>
      <c r="D1" s="281" t="s">
        <v>1831</v>
      </c>
      <c r="E1" s="160" t="s">
        <v>1832</v>
      </c>
      <c r="F1" s="283" t="s">
        <v>196</v>
      </c>
      <c r="G1" s="283" t="s">
        <v>1833</v>
      </c>
    </row>
    <row r="2" spans="1:7">
      <c r="A2" s="262" t="s">
        <v>1035</v>
      </c>
      <c r="B2" s="284">
        <v>21478</v>
      </c>
      <c r="C2" s="263">
        <v>4100</v>
      </c>
      <c r="D2" s="264">
        <v>69522</v>
      </c>
      <c r="E2" s="263">
        <v>28791</v>
      </c>
      <c r="F2" s="265">
        <v>444</v>
      </c>
      <c r="G2" s="263">
        <v>43074</v>
      </c>
    </row>
    <row r="3" spans="1:7">
      <c r="A3" s="262" t="s">
        <v>1834</v>
      </c>
      <c r="B3" s="285">
        <v>734</v>
      </c>
      <c r="C3" s="265">
        <v>240</v>
      </c>
      <c r="D3" s="264">
        <v>1732</v>
      </c>
      <c r="E3" s="265">
        <v>372</v>
      </c>
      <c r="F3" s="265">
        <v>635</v>
      </c>
      <c r="G3" s="265">
        <v>173</v>
      </c>
    </row>
    <row r="4" spans="1:7">
      <c r="A4" s="277" t="s">
        <v>35</v>
      </c>
      <c r="B4" s="278">
        <v>783</v>
      </c>
      <c r="C4" s="278">
        <v>245</v>
      </c>
      <c r="D4" s="282">
        <v>1855</v>
      </c>
      <c r="E4" s="278">
        <v>410</v>
      </c>
      <c r="F4" s="278"/>
      <c r="G4" s="278"/>
    </row>
    <row r="5" spans="1:7" s="293" customFormat="1">
      <c r="A5" s="288" t="s">
        <v>232</v>
      </c>
      <c r="B5" s="289">
        <f>0.73+0.15+0.3</f>
        <v>1.18</v>
      </c>
      <c r="C5" s="290">
        <f>0.24+0.24</f>
        <v>0.48</v>
      </c>
      <c r="D5" s="291">
        <v>0.86</v>
      </c>
      <c r="E5" s="289">
        <f>0.56+0.12</f>
        <v>0.68</v>
      </c>
      <c r="F5" s="292">
        <v>0.25</v>
      </c>
      <c r="G5" s="292">
        <f>0.1+0.13</f>
        <v>0.23</v>
      </c>
    </row>
    <row r="6" spans="1:7">
      <c r="A6" s="262" t="s">
        <v>1835</v>
      </c>
      <c r="B6" s="285" t="s">
        <v>1836</v>
      </c>
      <c r="C6" s="265" t="s">
        <v>1837</v>
      </c>
      <c r="D6" s="266" t="s">
        <v>1838</v>
      </c>
      <c r="E6" s="265" t="s">
        <v>1839</v>
      </c>
      <c r="F6" s="265" t="s">
        <v>1840</v>
      </c>
      <c r="G6" s="265" t="s">
        <v>1841</v>
      </c>
    </row>
    <row r="7" spans="1:7">
      <c r="A7" s="273" t="s">
        <v>1842</v>
      </c>
      <c r="B7" s="286">
        <v>25.7</v>
      </c>
      <c r="C7" s="274">
        <v>9.1300000000000008</v>
      </c>
      <c r="D7" s="275">
        <v>17.2</v>
      </c>
      <c r="E7" s="274">
        <v>23.7</v>
      </c>
      <c r="F7" s="274">
        <v>37.1</v>
      </c>
      <c r="G7" s="274">
        <v>17.399999999999999</v>
      </c>
    </row>
    <row r="8" spans="1:7">
      <c r="A8" s="262" t="s">
        <v>1843</v>
      </c>
      <c r="B8" s="285">
        <v>178</v>
      </c>
      <c r="C8" s="265">
        <v>164</v>
      </c>
      <c r="D8" s="266">
        <v>605</v>
      </c>
      <c r="E8" s="265">
        <v>105</v>
      </c>
      <c r="F8" s="265">
        <v>138</v>
      </c>
      <c r="G8" s="265">
        <v>94.2</v>
      </c>
    </row>
    <row r="9" spans="1:7">
      <c r="A9" s="262" t="s">
        <v>1844</v>
      </c>
      <c r="B9" s="285">
        <v>0</v>
      </c>
      <c r="C9" s="265">
        <v>0</v>
      </c>
      <c r="D9" s="266">
        <v>1.39</v>
      </c>
      <c r="E9" s="265">
        <v>0.53</v>
      </c>
      <c r="F9" s="265">
        <v>0.16</v>
      </c>
      <c r="G9" s="265">
        <v>1.44</v>
      </c>
    </row>
    <row r="10" spans="1:7">
      <c r="A10" s="262" t="s">
        <v>1845</v>
      </c>
      <c r="B10" s="285">
        <v>15.8</v>
      </c>
      <c r="C10" s="265">
        <v>15</v>
      </c>
      <c r="D10" s="266">
        <v>13.1</v>
      </c>
      <c r="E10" s="265">
        <v>10.8</v>
      </c>
      <c r="F10" s="265">
        <v>15.8</v>
      </c>
      <c r="G10" s="265">
        <v>8.2200000000000006</v>
      </c>
    </row>
    <row r="11" spans="1:7">
      <c r="A11" s="262" t="s">
        <v>1846</v>
      </c>
      <c r="B11" s="285">
        <v>17.5</v>
      </c>
      <c r="C11" s="265">
        <v>20.399999999999999</v>
      </c>
      <c r="D11" s="266">
        <v>17.899999999999999</v>
      </c>
      <c r="E11" s="265">
        <v>13.9</v>
      </c>
      <c r="F11" s="265">
        <v>13.9</v>
      </c>
      <c r="G11" s="265">
        <v>10.3</v>
      </c>
    </row>
    <row r="12" spans="1:7">
      <c r="A12" s="262" t="s">
        <v>1847</v>
      </c>
      <c r="B12" s="285">
        <v>1</v>
      </c>
      <c r="C12" s="265">
        <v>10</v>
      </c>
      <c r="D12" s="266">
        <v>10</v>
      </c>
      <c r="E12" s="265">
        <v>2</v>
      </c>
      <c r="F12" s="265">
        <v>10</v>
      </c>
      <c r="G12" s="265">
        <v>10</v>
      </c>
    </row>
    <row r="13" spans="1:7">
      <c r="A13" s="277" t="s">
        <v>1848</v>
      </c>
      <c r="B13" s="278">
        <v>24.4</v>
      </c>
      <c r="C13" s="278">
        <v>24.4</v>
      </c>
      <c r="D13" s="280">
        <v>24.4</v>
      </c>
      <c r="E13" s="278">
        <v>24.4</v>
      </c>
      <c r="F13" s="278">
        <v>24.4</v>
      </c>
      <c r="G13" s="278">
        <v>24.4</v>
      </c>
    </row>
    <row r="14" spans="1:7" ht="27.95">
      <c r="A14" s="262" t="s">
        <v>1849</v>
      </c>
      <c r="B14" s="285">
        <v>14.4</v>
      </c>
      <c r="C14" s="265">
        <v>11.1</v>
      </c>
      <c r="D14" s="266">
        <v>12.1</v>
      </c>
      <c r="E14" s="265">
        <v>7.18</v>
      </c>
      <c r="F14" s="265">
        <v>15.7</v>
      </c>
      <c r="G14" s="265">
        <v>5.4</v>
      </c>
    </row>
    <row r="15" spans="1:7">
      <c r="A15" s="262" t="s">
        <v>1850</v>
      </c>
      <c r="B15" s="285">
        <v>15</v>
      </c>
      <c r="C15" s="265">
        <v>11.2</v>
      </c>
      <c r="D15" s="266">
        <v>17.600000000000001</v>
      </c>
      <c r="E15" s="265">
        <v>7.32</v>
      </c>
      <c r="F15" s="265">
        <v>13.2</v>
      </c>
      <c r="G15" s="265">
        <v>-0.75</v>
      </c>
    </row>
    <row r="16" spans="1:7">
      <c r="A16" s="262" t="s">
        <v>1851</v>
      </c>
      <c r="B16" s="285">
        <v>1.22</v>
      </c>
      <c r="C16" s="265">
        <v>3.04</v>
      </c>
      <c r="D16" s="266">
        <v>2.42</v>
      </c>
      <c r="E16" s="265">
        <v>1.86</v>
      </c>
      <c r="F16" s="265">
        <v>0.6</v>
      </c>
      <c r="G16" s="265">
        <v>3.27</v>
      </c>
    </row>
    <row r="17" spans="1:7">
      <c r="A17" s="262" t="s">
        <v>1852</v>
      </c>
      <c r="B17" s="284">
        <v>6316</v>
      </c>
      <c r="C17" s="263">
        <v>8524</v>
      </c>
      <c r="D17" s="264">
        <v>58783</v>
      </c>
      <c r="E17" s="263">
        <v>15216</v>
      </c>
      <c r="F17" s="265">
        <v>57.9</v>
      </c>
      <c r="G17" s="263">
        <v>76603</v>
      </c>
    </row>
    <row r="18" spans="1:7">
      <c r="A18" s="262" t="s">
        <v>1853</v>
      </c>
      <c r="B18" s="285">
        <v>28.6</v>
      </c>
      <c r="C18" s="265">
        <v>26.4</v>
      </c>
      <c r="D18" s="266">
        <v>101</v>
      </c>
      <c r="E18" s="265">
        <v>22.7</v>
      </c>
      <c r="F18" s="265">
        <v>17.100000000000001</v>
      </c>
      <c r="G18" s="265">
        <v>9.9499999999999993</v>
      </c>
    </row>
    <row r="19" spans="1:7">
      <c r="A19" s="262" t="s">
        <v>1854</v>
      </c>
      <c r="B19" s="285">
        <v>20.7</v>
      </c>
      <c r="C19" s="265">
        <v>14</v>
      </c>
      <c r="D19" s="266">
        <v>86.5</v>
      </c>
      <c r="E19" s="265">
        <v>8.91</v>
      </c>
      <c r="F19" s="265">
        <v>13.4</v>
      </c>
      <c r="G19" s="265">
        <v>6.55</v>
      </c>
    </row>
    <row r="20" spans="1:7" s="295" customFormat="1">
      <c r="A20" s="270" t="s">
        <v>1855</v>
      </c>
      <c r="B20" s="279">
        <v>2183</v>
      </c>
      <c r="C20" s="276">
        <v>2271</v>
      </c>
      <c r="D20" s="294">
        <v>12635</v>
      </c>
      <c r="E20" s="276">
        <v>3394</v>
      </c>
      <c r="F20" s="271">
        <v>32.799999999999997</v>
      </c>
      <c r="G20" s="276">
        <v>14204</v>
      </c>
    </row>
    <row r="21" spans="1:7">
      <c r="A21" s="262" t="s">
        <v>1856</v>
      </c>
      <c r="B21" s="285">
        <v>836</v>
      </c>
      <c r="C21" s="265">
        <v>450</v>
      </c>
      <c r="D21" s="264">
        <v>4050</v>
      </c>
      <c r="E21" s="263">
        <v>1749</v>
      </c>
      <c r="F21" s="265">
        <v>12</v>
      </c>
      <c r="G21" s="263">
        <v>2472</v>
      </c>
    </row>
    <row r="22" spans="1:7">
      <c r="A22" s="262" t="s">
        <v>1857</v>
      </c>
      <c r="B22" s="285">
        <v>73.2</v>
      </c>
      <c r="C22" s="265">
        <v>65.400000000000006</v>
      </c>
      <c r="D22" s="266">
        <v>80</v>
      </c>
      <c r="E22" s="265">
        <v>73.5</v>
      </c>
      <c r="F22" s="265">
        <v>69.2</v>
      </c>
      <c r="G22" s="265">
        <v>59.1</v>
      </c>
    </row>
    <row r="23" spans="1:7">
      <c r="A23" s="262" t="s">
        <v>1858</v>
      </c>
      <c r="B23" s="285">
        <v>43.5</v>
      </c>
      <c r="C23" s="265">
        <v>58.9</v>
      </c>
      <c r="D23" s="266">
        <v>20.2</v>
      </c>
      <c r="E23" s="265">
        <v>52.6</v>
      </c>
      <c r="F23" s="265">
        <v>18.3</v>
      </c>
      <c r="G23" s="265">
        <v>8.9499999999999993</v>
      </c>
    </row>
    <row r="24" spans="1:7">
      <c r="A24" s="262" t="s">
        <v>1859</v>
      </c>
      <c r="B24" s="285">
        <v>-18.100000000000001</v>
      </c>
      <c r="C24" s="265">
        <v>-2.19</v>
      </c>
      <c r="D24" s="266">
        <v>-16.399999999999999</v>
      </c>
      <c r="E24" s="265">
        <v>-5.54</v>
      </c>
      <c r="F24" s="263">
        <v>-2222</v>
      </c>
      <c r="G24" s="265">
        <v>9.81</v>
      </c>
    </row>
    <row r="25" spans="1:7">
      <c r="A25" s="262" t="s">
        <v>1860</v>
      </c>
      <c r="B25" s="284">
        <v>-2145</v>
      </c>
      <c r="C25" s="263">
        <v>-2153</v>
      </c>
      <c r="D25" s="264">
        <v>-9471</v>
      </c>
      <c r="E25" s="263">
        <v>-7548</v>
      </c>
      <c r="F25" s="265">
        <v>2.39</v>
      </c>
      <c r="G25" s="265">
        <v>555</v>
      </c>
    </row>
    <row r="26" spans="1:7">
      <c r="A26" s="262" t="s">
        <v>1861</v>
      </c>
      <c r="B26" s="284">
        <v>-1135</v>
      </c>
      <c r="C26" s="263">
        <v>-2361</v>
      </c>
      <c r="D26" s="264">
        <v>-1995</v>
      </c>
      <c r="E26" s="263">
        <v>-5132</v>
      </c>
      <c r="F26" s="265">
        <v>-4.8099999999999996</v>
      </c>
      <c r="G26" s="263">
        <v>6622</v>
      </c>
    </row>
    <row r="27" spans="1:7">
      <c r="A27" s="262" t="s">
        <v>1862</v>
      </c>
      <c r="B27" s="285">
        <v>29.2</v>
      </c>
      <c r="C27" s="265">
        <v>170</v>
      </c>
      <c r="D27" s="266">
        <v>401</v>
      </c>
      <c r="E27" s="265">
        <v>154</v>
      </c>
      <c r="F27" s="265">
        <v>7</v>
      </c>
      <c r="G27" s="263">
        <v>2489</v>
      </c>
    </row>
    <row r="28" spans="1:7">
      <c r="A28" s="262" t="s">
        <v>1863</v>
      </c>
      <c r="B28" s="284">
        <v>5167</v>
      </c>
      <c r="C28" s="263">
        <v>2634</v>
      </c>
      <c r="D28" s="264">
        <v>23889</v>
      </c>
      <c r="E28" s="263">
        <v>8013</v>
      </c>
      <c r="F28" s="265">
        <v>89.8</v>
      </c>
      <c r="G28" s="263">
        <v>20950</v>
      </c>
    </row>
    <row r="29" spans="1:7">
      <c r="A29" s="262" t="s">
        <v>1864</v>
      </c>
      <c r="B29" s="285">
        <v>194</v>
      </c>
      <c r="C29" s="265">
        <v>198</v>
      </c>
      <c r="D29" s="264">
        <v>-1392</v>
      </c>
      <c r="E29" s="265">
        <v>-501</v>
      </c>
      <c r="F29" s="265">
        <v>9.77</v>
      </c>
      <c r="G29" s="263">
        <v>-5515</v>
      </c>
    </row>
    <row r="30" spans="1:7">
      <c r="A30" s="262" t="s">
        <v>1865</v>
      </c>
      <c r="B30" s="285">
        <v>727</v>
      </c>
      <c r="C30" s="265">
        <v>53.6</v>
      </c>
      <c r="D30" s="264">
        <v>-2750</v>
      </c>
      <c r="E30" s="265">
        <v>401</v>
      </c>
      <c r="F30" s="265">
        <v>4</v>
      </c>
      <c r="G30" s="263">
        <v>4193</v>
      </c>
    </row>
    <row r="31" spans="1:7">
      <c r="A31" s="262" t="s">
        <v>1866</v>
      </c>
      <c r="B31" s="285">
        <v>38.5</v>
      </c>
      <c r="C31" s="265">
        <v>174</v>
      </c>
      <c r="D31" s="266">
        <v>16.600000000000001</v>
      </c>
      <c r="E31" s="265">
        <v>85.4</v>
      </c>
      <c r="F31" s="265">
        <v>42.8</v>
      </c>
      <c r="G31" s="265">
        <v>56</v>
      </c>
    </row>
    <row r="32" spans="1:7">
      <c r="A32" s="262" t="s">
        <v>1867</v>
      </c>
      <c r="B32" s="284">
        <v>1672</v>
      </c>
      <c r="C32" s="263">
        <v>1579</v>
      </c>
      <c r="D32" s="264">
        <v>5046</v>
      </c>
      <c r="E32" s="265">
        <v>269</v>
      </c>
      <c r="F32" s="265">
        <v>17</v>
      </c>
      <c r="G32" s="263">
        <v>4676</v>
      </c>
    </row>
    <row r="33" spans="1:7" ht="27.95">
      <c r="A33" s="262" t="s">
        <v>1868</v>
      </c>
      <c r="B33" s="284">
        <v>-1123</v>
      </c>
      <c r="C33" s="263">
        <v>-2333</v>
      </c>
      <c r="D33" s="264">
        <v>-1902</v>
      </c>
      <c r="E33" s="263">
        <v>-5064</v>
      </c>
      <c r="F33" s="265">
        <v>-4.5599999999999996</v>
      </c>
      <c r="G33" s="263">
        <v>6718</v>
      </c>
    </row>
    <row r="34" spans="1:7">
      <c r="A34" s="262" t="s">
        <v>1869</v>
      </c>
      <c r="B34" s="284">
        <v>-2122</v>
      </c>
      <c r="C34" s="263">
        <v>-2125</v>
      </c>
      <c r="D34" s="264">
        <v>-9302</v>
      </c>
      <c r="E34" s="263">
        <v>-7556</v>
      </c>
      <c r="F34" s="265">
        <v>2.54</v>
      </c>
      <c r="G34" s="265">
        <v>673</v>
      </c>
    </row>
    <row r="35" spans="1:7">
      <c r="A35" s="262" t="s">
        <v>1870</v>
      </c>
      <c r="B35" s="285">
        <v>0.65</v>
      </c>
      <c r="C35" s="265">
        <v>0.52</v>
      </c>
      <c r="D35" s="266">
        <v>1.1100000000000001</v>
      </c>
      <c r="E35" s="265">
        <v>0.84</v>
      </c>
      <c r="F35" s="265">
        <v>2.78</v>
      </c>
      <c r="G35" s="265">
        <v>23</v>
      </c>
    </row>
    <row r="36" spans="1:7">
      <c r="A36" s="262" t="s">
        <v>1871</v>
      </c>
      <c r="B36" s="285">
        <v>4.16</v>
      </c>
      <c r="C36" s="265">
        <v>1.46</v>
      </c>
      <c r="D36" s="266">
        <v>2.83</v>
      </c>
      <c r="E36" s="265">
        <v>3.51</v>
      </c>
      <c r="F36" s="265">
        <v>4.59</v>
      </c>
      <c r="G36" s="265">
        <v>1.83</v>
      </c>
    </row>
    <row r="37" spans="1:7">
      <c r="A37" s="262" t="s">
        <v>1872</v>
      </c>
      <c r="B37" s="285">
        <v>9.84</v>
      </c>
      <c r="C37" s="265">
        <v>1.81</v>
      </c>
      <c r="D37" s="266">
        <v>5.5</v>
      </c>
      <c r="E37" s="265">
        <v>8.48</v>
      </c>
      <c r="F37" s="265">
        <v>13.6</v>
      </c>
      <c r="G37" s="265">
        <v>3.03</v>
      </c>
    </row>
    <row r="38" spans="1:7">
      <c r="A38" s="262" t="s">
        <v>1873</v>
      </c>
      <c r="B38" s="285">
        <v>-10.1</v>
      </c>
      <c r="C38" s="265">
        <v>-1.93</v>
      </c>
      <c r="D38" s="266">
        <v>-7.47</v>
      </c>
      <c r="E38" s="265">
        <v>-3.81</v>
      </c>
      <c r="F38" s="265">
        <v>175</v>
      </c>
      <c r="G38" s="265">
        <v>64</v>
      </c>
    </row>
    <row r="39" spans="1:7">
      <c r="A39" s="262" t="s">
        <v>1874</v>
      </c>
      <c r="B39" s="285">
        <v>178</v>
      </c>
      <c r="C39" s="265">
        <v>164</v>
      </c>
      <c r="D39" s="266">
        <v>605</v>
      </c>
      <c r="E39" s="265">
        <v>105</v>
      </c>
      <c r="F39" s="265">
        <v>138</v>
      </c>
      <c r="G39" s="265">
        <v>94.2</v>
      </c>
    </row>
    <row r="40" spans="1:7">
      <c r="A40" s="262" t="s">
        <v>1875</v>
      </c>
      <c r="B40" s="284">
        <v>279310</v>
      </c>
      <c r="C40" s="263">
        <v>80803</v>
      </c>
      <c r="D40" s="264">
        <v>660171</v>
      </c>
      <c r="E40" s="263">
        <v>3967258</v>
      </c>
      <c r="F40" s="263">
        <v>1926</v>
      </c>
      <c r="G40" s="263">
        <v>4650552</v>
      </c>
    </row>
    <row r="41" spans="1:7">
      <c r="A41" s="262" t="s">
        <v>1876</v>
      </c>
      <c r="B41" s="284">
        <v>288900</v>
      </c>
      <c r="C41" s="263">
        <v>157525</v>
      </c>
      <c r="D41" s="264">
        <v>882007</v>
      </c>
      <c r="E41" s="263">
        <v>2948896</v>
      </c>
      <c r="F41" s="263">
        <v>7165</v>
      </c>
      <c r="G41" s="263">
        <v>9562689</v>
      </c>
    </row>
    <row r="42" spans="1:7">
      <c r="A42" s="262" t="s">
        <v>1877</v>
      </c>
      <c r="B42" s="284">
        <v>466691</v>
      </c>
      <c r="C42" s="263">
        <v>254843</v>
      </c>
      <c r="D42" s="264">
        <v>652820</v>
      </c>
      <c r="E42" s="263">
        <v>4000177</v>
      </c>
      <c r="F42" s="263">
        <v>14749</v>
      </c>
      <c r="G42" s="263">
        <v>12152106</v>
      </c>
    </row>
    <row r="43" spans="1:7">
      <c r="A43" s="262" t="s">
        <v>1878</v>
      </c>
      <c r="B43" s="285">
        <v>6.07</v>
      </c>
      <c r="C43" s="265">
        <v>2.2799999999999998</v>
      </c>
      <c r="D43" s="266">
        <v>14.6</v>
      </c>
      <c r="E43" s="265">
        <v>6.77</v>
      </c>
      <c r="F43" s="265">
        <v>0</v>
      </c>
      <c r="G43" s="265">
        <v>11.6</v>
      </c>
    </row>
    <row r="44" spans="1:7" s="295" customFormat="1">
      <c r="A44" s="270" t="s">
        <v>1879</v>
      </c>
      <c r="B44" s="278">
        <v>26.5</v>
      </c>
      <c r="C44" s="271">
        <v>55.5</v>
      </c>
      <c r="D44" s="272">
        <v>73.400000000000006</v>
      </c>
      <c r="E44" s="271">
        <v>62.1</v>
      </c>
      <c r="F44" s="271">
        <v>60</v>
      </c>
      <c r="G44" s="271">
        <v>66.400000000000006</v>
      </c>
    </row>
    <row r="45" spans="1:7">
      <c r="A45" s="262" t="s">
        <v>1880</v>
      </c>
      <c r="B45" s="285">
        <v>-0.9</v>
      </c>
      <c r="C45" s="265">
        <v>-7.0000000000000007E-2</v>
      </c>
      <c r="D45" s="266">
        <v>-0.17</v>
      </c>
      <c r="E45" s="265">
        <v>0.96</v>
      </c>
      <c r="F45" s="265">
        <v>0</v>
      </c>
      <c r="G45" s="265">
        <v>2.95</v>
      </c>
    </row>
    <row r="46" spans="1:7">
      <c r="A46" s="262" t="s">
        <v>1881</v>
      </c>
      <c r="B46" s="285">
        <v>43.6</v>
      </c>
      <c r="C46" s="265"/>
      <c r="D46" s="266">
        <v>20.2</v>
      </c>
      <c r="E46" s="265">
        <v>53.1</v>
      </c>
      <c r="F46" s="265">
        <v>18.3</v>
      </c>
      <c r="G46" s="265">
        <v>9.34</v>
      </c>
    </row>
    <row r="47" spans="1:7">
      <c r="A47" s="262" t="s">
        <v>1882</v>
      </c>
      <c r="B47" s="285">
        <v>690</v>
      </c>
      <c r="C47" s="265"/>
      <c r="D47" s="264">
        <v>3604</v>
      </c>
      <c r="E47" s="263">
        <v>1131</v>
      </c>
      <c r="F47" s="265">
        <v>8.68</v>
      </c>
      <c r="G47" s="263">
        <v>3514</v>
      </c>
    </row>
    <row r="48" spans="1:7" ht="27.95">
      <c r="A48" s="262" t="s">
        <v>1883</v>
      </c>
      <c r="B48" s="285">
        <v>500</v>
      </c>
      <c r="C48" s="265"/>
      <c r="D48" s="264">
        <v>2870</v>
      </c>
      <c r="E48" s="265">
        <v>826</v>
      </c>
      <c r="F48" s="265">
        <v>5.98</v>
      </c>
      <c r="G48" s="263">
        <v>2070</v>
      </c>
    </row>
    <row r="49" spans="1:7">
      <c r="A49" s="262" t="s">
        <v>1884</v>
      </c>
      <c r="B49" s="285">
        <v>354</v>
      </c>
      <c r="C49" s="265"/>
      <c r="D49" s="264">
        <v>1625</v>
      </c>
      <c r="E49" s="265">
        <v>485</v>
      </c>
      <c r="F49" s="265">
        <v>4.05</v>
      </c>
      <c r="G49" s="265">
        <v>689</v>
      </c>
    </row>
    <row r="50" spans="1:7">
      <c r="A50" s="262" t="s">
        <v>1885</v>
      </c>
      <c r="B50" s="285">
        <v>12.1</v>
      </c>
      <c r="C50" s="265"/>
      <c r="D50" s="266">
        <v>40.5</v>
      </c>
      <c r="E50" s="265">
        <v>6.26</v>
      </c>
      <c r="F50" s="265">
        <v>5.78</v>
      </c>
      <c r="G50" s="265">
        <v>2.76</v>
      </c>
    </row>
    <row r="51" spans="1:7">
      <c r="A51" s="262" t="s">
        <v>1886</v>
      </c>
      <c r="B51" s="284">
        <v>1521</v>
      </c>
      <c r="C51" s="263">
        <v>1429</v>
      </c>
      <c r="D51" s="264">
        <v>10515</v>
      </c>
      <c r="E51" s="263">
        <v>2177</v>
      </c>
      <c r="F51" s="265">
        <v>27.7</v>
      </c>
      <c r="G51" s="263">
        <v>12775</v>
      </c>
    </row>
    <row r="52" spans="1:7">
      <c r="A52" s="262" t="s">
        <v>1887</v>
      </c>
      <c r="B52" s="284">
        <v>2002</v>
      </c>
      <c r="C52" s="263">
        <v>2067</v>
      </c>
      <c r="D52" s="264">
        <v>12080</v>
      </c>
      <c r="E52" s="263">
        <v>3110</v>
      </c>
      <c r="F52" s="265">
        <v>31.1</v>
      </c>
      <c r="G52" s="263">
        <v>13643</v>
      </c>
    </row>
    <row r="53" spans="1:7">
      <c r="A53" s="262" t="s">
        <v>1888</v>
      </c>
      <c r="B53" s="285">
        <v>0</v>
      </c>
      <c r="C53" s="265">
        <v>0</v>
      </c>
      <c r="D53" s="266">
        <v>88.3</v>
      </c>
      <c r="E53" s="265">
        <v>0.26</v>
      </c>
      <c r="F53" s="265">
        <v>0</v>
      </c>
      <c r="G53" s="265">
        <v>35.6</v>
      </c>
    </row>
    <row r="54" spans="1:7">
      <c r="A54" s="267" t="s">
        <v>1889</v>
      </c>
      <c r="B54" s="287">
        <v>64.3</v>
      </c>
      <c r="C54" s="268">
        <v>215</v>
      </c>
      <c r="D54" s="269">
        <v>350</v>
      </c>
      <c r="E54" s="265">
        <v>194</v>
      </c>
      <c r="F54" s="265">
        <v>2.61</v>
      </c>
      <c r="G54" s="265">
        <v>519</v>
      </c>
    </row>
    <row r="55" spans="1:7">
      <c r="A55" s="262"/>
      <c r="B55" s="285"/>
      <c r="C55" s="265"/>
      <c r="D55" s="265"/>
      <c r="E55" s="265"/>
      <c r="F55" s="84"/>
      <c r="G55" s="84"/>
    </row>
    <row r="56" spans="1:7">
      <c r="A56" s="262"/>
      <c r="B56" s="285"/>
      <c r="C56" s="265"/>
      <c r="D56" s="265"/>
      <c r="E56" s="265"/>
      <c r="F56" s="84"/>
      <c r="G56" s="84"/>
    </row>
  </sheetData>
  <pageMargins left="0.7" right="0.7" top="0.75" bottom="0.75" header="0.3" footer="0.3"/>
  <tableParts count="1">
    <tablePart r:id="rId1"/>
  </tableParts>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41CEE3-FC8E-41A5-9476-76065B99FA76}">
  <dimension ref="A1:H22"/>
  <sheetViews>
    <sheetView workbookViewId="0">
      <selection activeCell="A3" sqref="A3:D13"/>
    </sheetView>
  </sheetViews>
  <sheetFormatPr defaultRowHeight="14.45"/>
  <cols>
    <col min="1" max="1" width="35.7109375" customWidth="1"/>
    <col min="2" max="2" width="15" customWidth="1"/>
    <col min="3" max="3" width="12.7109375" customWidth="1"/>
    <col min="5" max="5" width="5.28515625" customWidth="1"/>
    <col min="6" max="6" width="50.7109375" style="196" customWidth="1"/>
    <col min="7" max="7" width="13" customWidth="1"/>
    <col min="8" max="8" width="11.28515625" bestFit="1" customWidth="1"/>
  </cols>
  <sheetData>
    <row r="1" spans="1:8">
      <c r="F1" s="196" t="s">
        <v>1890</v>
      </c>
      <c r="G1" t="s">
        <v>1829</v>
      </c>
      <c r="H1" t="s">
        <v>1891</v>
      </c>
    </row>
    <row r="2" spans="1:8" ht="29.1">
      <c r="F2" s="197" t="s">
        <v>1892</v>
      </c>
      <c r="G2" s="192" t="s">
        <v>1852</v>
      </c>
      <c r="H2" s="83">
        <v>25</v>
      </c>
    </row>
    <row r="3" spans="1:8">
      <c r="A3" s="84" t="s">
        <v>519</v>
      </c>
      <c r="B3" s="190" t="s">
        <v>841</v>
      </c>
      <c r="C3" s="190" t="s">
        <v>1038</v>
      </c>
      <c r="D3" s="191">
        <v>0.06</v>
      </c>
      <c r="F3" s="198" t="s">
        <v>1893</v>
      </c>
      <c r="G3" s="192" t="s">
        <v>1038</v>
      </c>
      <c r="H3" s="83">
        <v>23</v>
      </c>
    </row>
    <row r="4" spans="1:8" ht="16.5" customHeight="1">
      <c r="A4" s="84" t="s">
        <v>488</v>
      </c>
      <c r="B4" s="84" t="s">
        <v>1758</v>
      </c>
      <c r="C4" s="190" t="s">
        <v>1038</v>
      </c>
      <c r="D4" s="191">
        <v>0.06</v>
      </c>
      <c r="F4" s="198" t="s">
        <v>1894</v>
      </c>
      <c r="G4" s="192" t="s">
        <v>1895</v>
      </c>
      <c r="H4" s="83"/>
    </row>
    <row r="5" spans="1:8">
      <c r="A5" s="84" t="s">
        <v>550</v>
      </c>
      <c r="B5" s="84" t="s">
        <v>1758</v>
      </c>
      <c r="C5" s="190" t="s">
        <v>1759</v>
      </c>
      <c r="D5" s="191">
        <v>0.05</v>
      </c>
      <c r="F5" s="198" t="s">
        <v>1896</v>
      </c>
      <c r="G5" s="189" t="s">
        <v>1897</v>
      </c>
      <c r="H5" s="83"/>
    </row>
    <row r="6" spans="1:8">
      <c r="A6" s="84" t="s">
        <v>928</v>
      </c>
      <c r="B6" s="190" t="s">
        <v>1760</v>
      </c>
      <c r="C6" s="190" t="s">
        <v>1761</v>
      </c>
      <c r="D6" s="191">
        <v>0.05</v>
      </c>
      <c r="F6" s="199" t="s">
        <v>1898</v>
      </c>
      <c r="G6" s="189" t="s">
        <v>1039</v>
      </c>
      <c r="H6" s="193"/>
    </row>
    <row r="7" spans="1:8">
      <c r="A7" s="84" t="s">
        <v>538</v>
      </c>
      <c r="B7" s="190" t="s">
        <v>1762</v>
      </c>
      <c r="C7" s="190" t="s">
        <v>1759</v>
      </c>
      <c r="D7" s="191">
        <v>0.05</v>
      </c>
    </row>
    <row r="8" spans="1:8">
      <c r="A8" s="84" t="s">
        <v>521</v>
      </c>
      <c r="B8" s="190" t="s">
        <v>1047</v>
      </c>
      <c r="C8" s="190" t="s">
        <v>1038</v>
      </c>
      <c r="D8" s="191">
        <v>0.05</v>
      </c>
      <c r="F8" s="196" t="s">
        <v>495</v>
      </c>
    </row>
    <row r="9" spans="1:8" ht="20.25" customHeight="1">
      <c r="A9" s="84" t="s">
        <v>978</v>
      </c>
      <c r="B9" s="190" t="s">
        <v>840</v>
      </c>
      <c r="C9" s="190" t="s">
        <v>1759</v>
      </c>
      <c r="D9" s="191">
        <v>0.05</v>
      </c>
      <c r="F9" s="200" t="s">
        <v>1899</v>
      </c>
      <c r="G9" s="194" t="s">
        <v>1038</v>
      </c>
    </row>
    <row r="10" spans="1:8">
      <c r="A10" s="84" t="s">
        <v>1727</v>
      </c>
      <c r="B10" s="190" t="s">
        <v>1763</v>
      </c>
      <c r="C10" s="84"/>
      <c r="D10" s="84"/>
      <c r="F10" s="200" t="s">
        <v>1900</v>
      </c>
      <c r="G10" s="195" t="s">
        <v>1901</v>
      </c>
    </row>
    <row r="11" spans="1:8" ht="17.25" customHeight="1">
      <c r="A11" s="84" t="s">
        <v>1740</v>
      </c>
      <c r="B11" s="190" t="s">
        <v>1763</v>
      </c>
      <c r="C11" s="84"/>
      <c r="D11" s="84"/>
      <c r="F11" s="200" t="s">
        <v>1902</v>
      </c>
      <c r="G11" s="194" t="s">
        <v>1039</v>
      </c>
    </row>
    <row r="12" spans="1:8">
      <c r="A12" s="84" t="s">
        <v>958</v>
      </c>
      <c r="B12" s="84"/>
      <c r="C12" s="84"/>
      <c r="D12" s="84"/>
      <c r="F12" s="200" t="s">
        <v>1903</v>
      </c>
      <c r="G12" s="195" t="s">
        <v>1040</v>
      </c>
    </row>
    <row r="13" spans="1:8">
      <c r="A13" s="84" t="s">
        <v>1764</v>
      </c>
      <c r="B13" s="190" t="s">
        <v>1765</v>
      </c>
      <c r="C13" s="84"/>
      <c r="D13" s="84"/>
      <c r="F13" s="200" t="s">
        <v>1904</v>
      </c>
      <c r="G13" s="194" t="s">
        <v>1905</v>
      </c>
    </row>
    <row r="14" spans="1:8" ht="29.1">
      <c r="A14" s="201" t="s">
        <v>1906</v>
      </c>
      <c r="B14" s="201"/>
      <c r="C14" s="201" t="s">
        <v>35</v>
      </c>
      <c r="D14" s="83"/>
      <c r="F14" s="200" t="s">
        <v>1907</v>
      </c>
      <c r="G14" s="195" t="s">
        <v>1040</v>
      </c>
    </row>
    <row r="15" spans="1:8">
      <c r="A15" s="201" t="s">
        <v>1908</v>
      </c>
      <c r="B15" s="201" t="s">
        <v>1909</v>
      </c>
      <c r="C15" s="201" t="s">
        <v>35</v>
      </c>
      <c r="D15" s="83"/>
      <c r="F15" s="200" t="s">
        <v>1910</v>
      </c>
      <c r="G15" s="194" t="s">
        <v>1897</v>
      </c>
    </row>
    <row r="16" spans="1:8">
      <c r="A16" s="202" t="s">
        <v>1911</v>
      </c>
      <c r="B16" s="83"/>
      <c r="C16" s="83"/>
      <c r="D16" s="83"/>
      <c r="F16" s="200" t="s">
        <v>1912</v>
      </c>
      <c r="G16" s="195" t="s">
        <v>1913</v>
      </c>
    </row>
    <row r="17" spans="1:7">
      <c r="A17" s="201" t="s">
        <v>1914</v>
      </c>
      <c r="B17" s="201" t="s">
        <v>1915</v>
      </c>
      <c r="C17" s="201" t="s">
        <v>35</v>
      </c>
      <c r="D17" s="83"/>
      <c r="F17" s="197" t="s">
        <v>496</v>
      </c>
      <c r="G17" s="83"/>
    </row>
    <row r="18" spans="1:7">
      <c r="A18" s="188" t="s">
        <v>1916</v>
      </c>
      <c r="B18" s="83"/>
      <c r="C18" s="83"/>
      <c r="D18" s="83"/>
      <c r="F18" s="200" t="s">
        <v>1904</v>
      </c>
      <c r="G18" s="194" t="s">
        <v>1905</v>
      </c>
    </row>
    <row r="19" spans="1:7" ht="29.1">
      <c r="A19" s="203" t="s">
        <v>1917</v>
      </c>
      <c r="B19" s="203"/>
      <c r="C19" t="s">
        <v>35</v>
      </c>
      <c r="F19" s="200" t="s">
        <v>1907</v>
      </c>
      <c r="G19" s="195" t="s">
        <v>1040</v>
      </c>
    </row>
    <row r="20" spans="1:7">
      <c r="A20" s="204" t="s">
        <v>1918</v>
      </c>
      <c r="B20" s="204"/>
      <c r="C20" s="204" t="s">
        <v>35</v>
      </c>
      <c r="F20" s="200" t="s">
        <v>1910</v>
      </c>
      <c r="G20" s="194" t="s">
        <v>1897</v>
      </c>
    </row>
    <row r="21" spans="1:7">
      <c r="A21" s="205" t="s">
        <v>1919</v>
      </c>
      <c r="B21" s="204"/>
      <c r="C21" s="204" t="s">
        <v>35</v>
      </c>
      <c r="F21" s="200" t="s">
        <v>1912</v>
      </c>
      <c r="G21" s="195" t="s">
        <v>1913</v>
      </c>
    </row>
    <row r="22" spans="1:7">
      <c r="A22" s="204" t="s">
        <v>1920</v>
      </c>
      <c r="B22" s="204"/>
      <c r="C22" s="204" t="s">
        <v>35</v>
      </c>
      <c r="F22" s="197" t="s">
        <v>496</v>
      </c>
      <c r="G22" s="83"/>
    </row>
  </sheetData>
  <hyperlinks>
    <hyperlink ref="A10" r:id="rId1" display="Macrotech Developers" xr:uid="{11FBF25B-BB2C-408D-9392-8FB665993508}"/>
    <hyperlink ref="A12" r:id="rId2" xr:uid="{62501316-12D1-461D-9223-4EC2B3004431}"/>
    <hyperlink ref="F4" r:id="rId3" display="Motilal Oswal Nifty 200 Momentum 30 ETF" xr:uid="{3341F876-9D40-480F-AB38-7D00A8C749B3}"/>
    <hyperlink ref="F5" r:id="rId4" display="Motilal Oswal Nasdaq 100 ETF" xr:uid="{7AA31715-B2D3-415A-9F4D-800F27A32E8C}"/>
    <hyperlink ref="F6" r:id="rId5" xr:uid="{A8E43DF4-2C2C-4C3B-8B96-1840EBE65A17}"/>
  </hyperlinks>
  <pageMargins left="0.7" right="0.7" top="0.75" bottom="0.75" header="0.3" footer="0.3"/>
  <tableParts count="1">
    <tablePart r:id="rId6"/>
  </tableParts>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22071-2D70-4D32-B5B8-8CAF77692C13}">
  <dimension ref="A1:C120"/>
  <sheetViews>
    <sheetView topLeftCell="A85" workbookViewId="0">
      <selection activeCell="C108" sqref="C108"/>
    </sheetView>
  </sheetViews>
  <sheetFormatPr defaultRowHeight="14.45"/>
  <cols>
    <col min="1" max="1" width="34.28515625" style="584" bestFit="1" customWidth="1"/>
    <col min="2" max="2" width="57.5703125" style="584" bestFit="1" customWidth="1"/>
    <col min="3" max="3" width="43.7109375" customWidth="1"/>
  </cols>
  <sheetData>
    <row r="1" spans="1:3">
      <c r="A1" s="18" t="s">
        <v>689</v>
      </c>
      <c r="B1" s="18" t="s">
        <v>690</v>
      </c>
    </row>
    <row r="2" spans="1:3">
      <c r="A2" s="584" t="s">
        <v>693</v>
      </c>
      <c r="B2" s="584" t="s">
        <v>694</v>
      </c>
      <c r="C2" t="str">
        <f>MID(B2,1,LEN(B2)-5)</f>
        <v>Senco Gold</v>
      </c>
    </row>
    <row r="3" spans="1:3">
      <c r="A3" s="584" t="s">
        <v>693</v>
      </c>
      <c r="B3" s="584" t="s">
        <v>695</v>
      </c>
      <c r="C3" t="str">
        <f t="shared" ref="C3:C66" si="0">MID(B3,1,LEN(B3)-5)</f>
        <v>Credo Brands Marketing</v>
      </c>
    </row>
    <row r="4" spans="1:3">
      <c r="A4" s="584" t="s">
        <v>693</v>
      </c>
      <c r="B4" s="584" t="s">
        <v>696</v>
      </c>
      <c r="C4" t="str">
        <f t="shared" si="0"/>
        <v>Poonawalla Fincor</v>
      </c>
    </row>
    <row r="5" spans="1:3">
      <c r="A5" s="584" t="s">
        <v>693</v>
      </c>
      <c r="B5" s="584" t="s">
        <v>697</v>
      </c>
      <c r="C5" t="str">
        <f t="shared" si="0"/>
        <v>Kaynes Technology India</v>
      </c>
    </row>
    <row r="6" spans="1:3">
      <c r="A6" s="584" t="s">
        <v>693</v>
      </c>
      <c r="B6" s="584" t="s">
        <v>698</v>
      </c>
      <c r="C6" t="str">
        <f t="shared" si="0"/>
        <v>Zen Technologies</v>
      </c>
    </row>
    <row r="7" spans="1:3">
      <c r="A7" s="584" t="s">
        <v>693</v>
      </c>
      <c r="B7" s="584" t="s">
        <v>699</v>
      </c>
      <c r="C7" t="str">
        <f t="shared" si="0"/>
        <v>Sona BLW Precision Forgings</v>
      </c>
    </row>
    <row r="8" spans="1:3">
      <c r="A8" s="584" t="s">
        <v>693</v>
      </c>
      <c r="B8" s="584" t="s">
        <v>700</v>
      </c>
      <c r="C8" t="str">
        <f t="shared" si="0"/>
        <v>RateGain Travel Technologies</v>
      </c>
    </row>
    <row r="9" spans="1:3">
      <c r="A9" s="584" t="s">
        <v>693</v>
      </c>
      <c r="B9" s="584" t="s">
        <v>701</v>
      </c>
      <c r="C9" t="str">
        <f t="shared" si="0"/>
        <v>Avalon Technologies</v>
      </c>
    </row>
    <row r="10" spans="1:3">
      <c r="A10" s="584" t="s">
        <v>693</v>
      </c>
      <c r="B10" s="584" t="s">
        <v>702</v>
      </c>
      <c r="C10" t="str">
        <f t="shared" si="0"/>
        <v>L&amp;T Finance</v>
      </c>
    </row>
    <row r="11" spans="1:3">
      <c r="A11" s="584" t="s">
        <v>693</v>
      </c>
      <c r="B11" s="584" t="s">
        <v>703</v>
      </c>
      <c r="C11" t="str">
        <f t="shared" si="0"/>
        <v>Power Mech Projects</v>
      </c>
    </row>
    <row r="12" spans="1:3">
      <c r="A12" s="584" t="s">
        <v>693</v>
      </c>
      <c r="B12" s="584" t="s">
        <v>704</v>
      </c>
      <c r="C12" t="str">
        <f t="shared" si="0"/>
        <v>Gujarat Fluorochemicals</v>
      </c>
    </row>
    <row r="13" spans="1:3">
      <c r="A13" s="584" t="s">
        <v>693</v>
      </c>
      <c r="B13" s="584" t="s">
        <v>705</v>
      </c>
      <c r="C13" t="str">
        <f t="shared" si="0"/>
        <v>Vedant Fashions</v>
      </c>
    </row>
    <row r="14" spans="1:3">
      <c r="A14" s="584" t="s">
        <v>693</v>
      </c>
      <c r="B14" s="584" t="s">
        <v>706</v>
      </c>
      <c r="C14" t="str">
        <f t="shared" si="0"/>
        <v>Restaurant Brands Asi</v>
      </c>
    </row>
    <row r="15" spans="1:3">
      <c r="A15" s="584" t="s">
        <v>693</v>
      </c>
      <c r="B15" s="584" t="s">
        <v>707</v>
      </c>
      <c r="C15" t="str">
        <f t="shared" si="0"/>
        <v xml:space="preserve">CE Info Systems </v>
      </c>
    </row>
    <row r="16" spans="1:3">
      <c r="A16" s="584" t="s">
        <v>693</v>
      </c>
      <c r="B16" s="584" t="s">
        <v>708</v>
      </c>
      <c r="C16" t="str">
        <f t="shared" si="0"/>
        <v>Muthoot Microfin</v>
      </c>
    </row>
    <row r="17" spans="1:3">
      <c r="A17" s="584" t="s">
        <v>693</v>
      </c>
      <c r="B17" s="584" t="s">
        <v>709</v>
      </c>
      <c r="C17" t="str">
        <f t="shared" si="0"/>
        <v>Dr. Lal Pathlabs</v>
      </c>
    </row>
    <row r="18" spans="1:3">
      <c r="A18" s="584" t="s">
        <v>693</v>
      </c>
      <c r="B18" s="584" t="s">
        <v>710</v>
      </c>
      <c r="C18" t="str">
        <f t="shared" si="0"/>
        <v>Campus Activewear</v>
      </c>
    </row>
    <row r="19" spans="1:3">
      <c r="A19" s="584" t="s">
        <v>693</v>
      </c>
      <c r="B19" s="584" t="s">
        <v>711</v>
      </c>
      <c r="C19" t="str">
        <f t="shared" si="0"/>
        <v>Tejas Networks</v>
      </c>
    </row>
    <row r="20" spans="1:3">
      <c r="A20" s="584" t="s">
        <v>712</v>
      </c>
      <c r="B20" s="584" t="s">
        <v>713</v>
      </c>
      <c r="C20" t="str">
        <f t="shared" si="0"/>
        <v xml:space="preserve">IDFC First Bank: </v>
      </c>
    </row>
    <row r="21" spans="1:3">
      <c r="A21" s="584" t="s">
        <v>712</v>
      </c>
      <c r="B21" s="584" t="s">
        <v>714</v>
      </c>
      <c r="C21" t="str">
        <f t="shared" si="0"/>
        <v xml:space="preserve">Poonawalla Fincorp: </v>
      </c>
    </row>
    <row r="22" spans="1:3">
      <c r="A22" s="584" t="s">
        <v>712</v>
      </c>
      <c r="B22" s="584" t="s">
        <v>715</v>
      </c>
      <c r="C22" t="str">
        <f t="shared" si="0"/>
        <v>Star Health and Allied Insurance Company :</v>
      </c>
    </row>
    <row r="23" spans="1:3">
      <c r="A23" s="584" t="s">
        <v>712</v>
      </c>
      <c r="B23" s="584" t="s">
        <v>716</v>
      </c>
      <c r="C23" t="str">
        <f t="shared" si="0"/>
        <v>Max Healthcare Institute :</v>
      </c>
    </row>
    <row r="24" spans="1:3">
      <c r="A24" s="584" t="s">
        <v>712</v>
      </c>
      <c r="B24" s="584" t="s">
        <v>717</v>
      </c>
      <c r="C24" t="str">
        <f t="shared" si="0"/>
        <v>Zomato :</v>
      </c>
    </row>
    <row r="25" spans="1:3">
      <c r="A25" s="584" t="s">
        <v>712</v>
      </c>
      <c r="B25" s="584" t="s">
        <v>1921</v>
      </c>
      <c r="C25" t="str">
        <f t="shared" si="0"/>
        <v>® Kalyan Jewellers India</v>
      </c>
    </row>
    <row r="26" spans="1:3">
      <c r="A26" s="584" t="s">
        <v>712</v>
      </c>
      <c r="B26" s="584" t="s">
        <v>1922</v>
      </c>
      <c r="C26" t="str">
        <f t="shared" si="0"/>
        <v>- Ambuja Cements :</v>
      </c>
    </row>
    <row r="27" spans="1:3">
      <c r="A27" s="584" t="s">
        <v>712</v>
      </c>
      <c r="B27" s="584" t="s">
        <v>720</v>
      </c>
      <c r="C27" t="str">
        <f t="shared" si="0"/>
        <v>EIH :</v>
      </c>
    </row>
    <row r="28" spans="1:3">
      <c r="A28" s="584" t="s">
        <v>712</v>
      </c>
      <c r="B28" s="584" t="s">
        <v>721</v>
      </c>
      <c r="C28" t="str">
        <f t="shared" si="0"/>
        <v>Tata Power Company :</v>
      </c>
    </row>
    <row r="29" spans="1:3">
      <c r="A29" s="584" t="s">
        <v>712</v>
      </c>
      <c r="B29" s="584" t="s">
        <v>722</v>
      </c>
      <c r="C29" t="str">
        <f t="shared" si="0"/>
        <v>Crompton Greaves Consumer Electricals:</v>
      </c>
    </row>
    <row r="30" spans="1:3">
      <c r="A30" s="584" t="s">
        <v>712</v>
      </c>
      <c r="B30" s="584" t="s">
        <v>723</v>
      </c>
      <c r="C30" t="str">
        <f t="shared" si="0"/>
        <v>Avalon Technologies :</v>
      </c>
    </row>
    <row r="31" spans="1:3">
      <c r="A31" s="584" t="s">
        <v>724</v>
      </c>
      <c r="B31" s="584" t="s">
        <v>725</v>
      </c>
      <c r="C31" t="str">
        <f t="shared" si="0"/>
        <v>IDFC First Bank :</v>
      </c>
    </row>
    <row r="32" spans="1:3">
      <c r="A32" s="584" t="s">
        <v>724</v>
      </c>
      <c r="B32" s="584" t="s">
        <v>726</v>
      </c>
      <c r="C32" t="str">
        <f t="shared" si="0"/>
        <v>Ambuja Cements:</v>
      </c>
    </row>
    <row r="33" spans="1:3">
      <c r="A33" s="584" t="s">
        <v>724</v>
      </c>
      <c r="B33" s="584" t="s">
        <v>727</v>
      </c>
      <c r="C33" t="str">
        <f t="shared" si="0"/>
        <v>Bharti Airtel :</v>
      </c>
    </row>
    <row r="34" spans="1:3">
      <c r="A34" s="584" t="s">
        <v>724</v>
      </c>
      <c r="B34" s="584" t="s">
        <v>1923</v>
      </c>
      <c r="C34" t="str">
        <f t="shared" si="0"/>
        <v>® Varun Beverages</v>
      </c>
    </row>
    <row r="35" spans="1:3">
      <c r="A35" s="584" t="s">
        <v>724</v>
      </c>
      <c r="B35" s="584" t="s">
        <v>729</v>
      </c>
      <c r="C35" t="str">
        <f t="shared" si="0"/>
        <v>L&amp;T Finance</v>
      </c>
    </row>
    <row r="36" spans="1:3">
      <c r="A36" s="584" t="s">
        <v>724</v>
      </c>
      <c r="B36" s="584" t="s">
        <v>730</v>
      </c>
      <c r="C36" t="str">
        <f t="shared" si="0"/>
        <v>Poonawalla Fincorp</v>
      </c>
    </row>
    <row r="37" spans="1:3">
      <c r="A37" s="584" t="s">
        <v>724</v>
      </c>
      <c r="B37" s="584" t="s">
        <v>731</v>
      </c>
      <c r="C37" t="str">
        <f t="shared" si="0"/>
        <v>Max Healthcare Institute</v>
      </c>
    </row>
    <row r="38" spans="1:3">
      <c r="A38" s="584" t="s">
        <v>724</v>
      </c>
      <c r="B38" s="584" t="s">
        <v>732</v>
      </c>
      <c r="C38" t="str">
        <f t="shared" si="0"/>
        <v>Zomato :</v>
      </c>
    </row>
    <row r="39" spans="1:3">
      <c r="A39" s="584" t="s">
        <v>724</v>
      </c>
      <c r="B39" s="584" t="s">
        <v>733</v>
      </c>
      <c r="C39" t="str">
        <f t="shared" si="0"/>
        <v>Star Health and Allied Insurance Company :</v>
      </c>
    </row>
    <row r="40" spans="1:3">
      <c r="A40" s="584" t="s">
        <v>724</v>
      </c>
      <c r="B40" s="584" t="s">
        <v>734</v>
      </c>
      <c r="C40" t="str">
        <f t="shared" si="0"/>
        <v>Tata Motors :</v>
      </c>
    </row>
    <row r="41" spans="1:3">
      <c r="A41" s="584" t="s">
        <v>724</v>
      </c>
      <c r="B41" s="584" t="s">
        <v>735</v>
      </c>
      <c r="C41" t="str">
        <f t="shared" si="0"/>
        <v>Crompton Greaves Consumer Electricals:</v>
      </c>
    </row>
    <row r="42" spans="1:3">
      <c r="A42" s="584" t="s">
        <v>724</v>
      </c>
      <c r="B42" s="584" t="s">
        <v>736</v>
      </c>
      <c r="C42" t="str">
        <f t="shared" si="0"/>
        <v>Tata Power Company:</v>
      </c>
    </row>
    <row r="43" spans="1:3">
      <c r="A43" s="584" t="s">
        <v>724</v>
      </c>
      <c r="B43" s="584" t="s">
        <v>737</v>
      </c>
      <c r="C43" t="str">
        <f t="shared" si="0"/>
        <v>Tata Consumer Products :</v>
      </c>
    </row>
    <row r="44" spans="1:3">
      <c r="A44" s="584" t="s">
        <v>738</v>
      </c>
      <c r="B44" s="584" t="s">
        <v>739</v>
      </c>
      <c r="C44" t="str">
        <f t="shared" si="0"/>
        <v>Reliance Industries :</v>
      </c>
    </row>
    <row r="45" spans="1:3">
      <c r="A45" s="584" t="s">
        <v>738</v>
      </c>
      <c r="B45" s="584" t="s">
        <v>740</v>
      </c>
      <c r="C45" t="str">
        <f t="shared" si="0"/>
        <v>Fine Organic Industries :</v>
      </c>
    </row>
    <row r="46" spans="1:3">
      <c r="A46" s="584" t="s">
        <v>738</v>
      </c>
      <c r="B46" s="584" t="s">
        <v>733</v>
      </c>
      <c r="C46" t="str">
        <f t="shared" si="0"/>
        <v>Star Health and Allied Insurance Company :</v>
      </c>
    </row>
    <row r="47" spans="1:3">
      <c r="A47" s="584" t="s">
        <v>738</v>
      </c>
      <c r="B47" s="584" t="s">
        <v>741</v>
      </c>
      <c r="C47" t="str">
        <f t="shared" si="0"/>
        <v>IDFC First Bank</v>
      </c>
    </row>
    <row r="48" spans="1:3">
      <c r="A48" s="584" t="s">
        <v>738</v>
      </c>
      <c r="B48" s="584" t="s">
        <v>742</v>
      </c>
      <c r="C48" t="str">
        <f t="shared" si="0"/>
        <v>HDFC Ban</v>
      </c>
    </row>
    <row r="49" spans="1:3">
      <c r="A49" s="584" t="s">
        <v>738</v>
      </c>
      <c r="B49" s="584" t="s">
        <v>743</v>
      </c>
      <c r="C49" t="str">
        <f t="shared" si="0"/>
        <v>NTPC</v>
      </c>
    </row>
    <row r="50" spans="1:3">
      <c r="A50" s="584" t="s">
        <v>738</v>
      </c>
      <c r="B50" s="584" t="s">
        <v>744</v>
      </c>
      <c r="C50" t="str">
        <f t="shared" si="0"/>
        <v>Tata Power Company</v>
      </c>
    </row>
    <row r="51" spans="1:3">
      <c r="A51" s="584" t="s">
        <v>738</v>
      </c>
      <c r="B51" s="584" t="s">
        <v>745</v>
      </c>
      <c r="C51" t="str">
        <f t="shared" si="0"/>
        <v>Bharti Airtel</v>
      </c>
    </row>
    <row r="52" spans="1:3">
      <c r="A52" s="584" t="s">
        <v>738</v>
      </c>
      <c r="B52" s="584" t="s">
        <v>746</v>
      </c>
      <c r="C52" t="str">
        <f t="shared" si="0"/>
        <v>Bajaj Finance</v>
      </c>
    </row>
    <row r="53" spans="1:3">
      <c r="A53" s="584" t="s">
        <v>738</v>
      </c>
      <c r="B53" s="584" t="s">
        <v>747</v>
      </c>
      <c r="C53" t="str">
        <f t="shared" si="0"/>
        <v>Pl Industries :</v>
      </c>
    </row>
    <row r="54" spans="1:3">
      <c r="A54" s="584" t="s">
        <v>738</v>
      </c>
      <c r="B54" s="584" t="s">
        <v>748</v>
      </c>
      <c r="C54" t="str">
        <f t="shared" si="0"/>
        <v>Ambuja Cements :</v>
      </c>
    </row>
    <row r="55" spans="1:3">
      <c r="A55" s="584" t="s">
        <v>738</v>
      </c>
      <c r="B55" s="584" t="s">
        <v>749</v>
      </c>
      <c r="C55" t="str">
        <f t="shared" si="0"/>
        <v>Deepak Nitrite</v>
      </c>
    </row>
    <row r="56" spans="1:3">
      <c r="A56" s="584" t="s">
        <v>738</v>
      </c>
      <c r="B56" s="584" t="s">
        <v>1924</v>
      </c>
      <c r="C56" t="str">
        <f t="shared" si="0"/>
        <v>•L&amp;T Finance</v>
      </c>
    </row>
    <row r="57" spans="1:3">
      <c r="A57" s="584" t="s">
        <v>738</v>
      </c>
      <c r="B57" s="584" t="s">
        <v>751</v>
      </c>
      <c r="C57" t="str">
        <f t="shared" si="0"/>
        <v>EIH :</v>
      </c>
    </row>
    <row r="58" spans="1:3">
      <c r="A58" s="584" t="s">
        <v>738</v>
      </c>
      <c r="B58" s="584" t="s">
        <v>752</v>
      </c>
      <c r="C58" t="str">
        <f t="shared" si="0"/>
        <v>Power Grid Corporation Of India</v>
      </c>
    </row>
    <row r="59" spans="1:3">
      <c r="A59" s="584" t="s">
        <v>753</v>
      </c>
      <c r="B59" s="584" t="s">
        <v>754</v>
      </c>
      <c r="C59" t="str">
        <f t="shared" si="0"/>
        <v xml:space="preserve">Tata Motors </v>
      </c>
    </row>
    <row r="60" spans="1:3">
      <c r="A60" s="584" t="s">
        <v>753</v>
      </c>
      <c r="B60" s="584" t="s">
        <v>755</v>
      </c>
      <c r="C60" t="str">
        <f t="shared" si="0"/>
        <v xml:space="preserve">Reliance Industries </v>
      </c>
    </row>
    <row r="61" spans="1:3">
      <c r="A61" s="584" t="s">
        <v>753</v>
      </c>
      <c r="B61" s="584" t="s">
        <v>756</v>
      </c>
      <c r="C61" t="str">
        <f t="shared" si="0"/>
        <v>Torrent Power</v>
      </c>
    </row>
    <row r="62" spans="1:3">
      <c r="A62" s="584" t="s">
        <v>753</v>
      </c>
      <c r="B62" s="584" t="s">
        <v>757</v>
      </c>
      <c r="C62" t="str">
        <f t="shared" si="0"/>
        <v xml:space="preserve">Sona BLW Precision Forgings </v>
      </c>
    </row>
    <row r="63" spans="1:3">
      <c r="A63" s="584" t="s">
        <v>753</v>
      </c>
      <c r="B63" s="584" t="s">
        <v>758</v>
      </c>
      <c r="C63" t="str">
        <f t="shared" si="0"/>
        <v xml:space="preserve">Tata Power Company </v>
      </c>
    </row>
    <row r="64" spans="1:3">
      <c r="A64" s="584" t="s">
        <v>753</v>
      </c>
      <c r="B64" s="584" t="s">
        <v>759</v>
      </c>
      <c r="C64" t="str">
        <f t="shared" si="0"/>
        <v>Avalon Technologies</v>
      </c>
    </row>
    <row r="65" spans="1:3">
      <c r="A65" s="584" t="s">
        <v>753</v>
      </c>
      <c r="B65" s="584" t="s">
        <v>760</v>
      </c>
      <c r="C65" t="str">
        <f t="shared" si="0"/>
        <v>Tube Investments of Indi</v>
      </c>
    </row>
    <row r="66" spans="1:3">
      <c r="A66" s="584" t="s">
        <v>753</v>
      </c>
      <c r="B66" s="584" t="s">
        <v>761</v>
      </c>
      <c r="C66" t="str">
        <f t="shared" si="0"/>
        <v>NTPC</v>
      </c>
    </row>
    <row r="67" spans="1:3">
      <c r="A67" s="584" t="s">
        <v>753</v>
      </c>
      <c r="B67" s="584" t="s">
        <v>762</v>
      </c>
      <c r="C67" t="str">
        <f t="shared" ref="C67:C120" si="1">MID(B67,1,LEN(B67)-5)</f>
        <v>Borosil Renewables</v>
      </c>
    </row>
    <row r="68" spans="1:3">
      <c r="A68" s="584" t="s">
        <v>753</v>
      </c>
      <c r="B68" s="584" t="s">
        <v>763</v>
      </c>
      <c r="C68" t="str">
        <f t="shared" si="1"/>
        <v>ABB Indi</v>
      </c>
    </row>
    <row r="69" spans="1:3">
      <c r="A69" s="584" t="s">
        <v>753</v>
      </c>
      <c r="B69" s="584" t="s">
        <v>764</v>
      </c>
      <c r="C69" t="str">
        <f t="shared" si="1"/>
        <v>KPIT Technologies</v>
      </c>
    </row>
    <row r="70" spans="1:3">
      <c r="A70" s="584" t="s">
        <v>753</v>
      </c>
      <c r="B70" s="584" t="s">
        <v>765</v>
      </c>
      <c r="C70" t="str">
        <f t="shared" si="1"/>
        <v>Gujarat Fluorochemicals</v>
      </c>
    </row>
    <row r="71" spans="1:3">
      <c r="A71" s="988" t="s">
        <v>766</v>
      </c>
      <c r="B71" s="584" t="s">
        <v>767</v>
      </c>
      <c r="C71" t="str">
        <f t="shared" si="1"/>
        <v>ICICI Bank:</v>
      </c>
    </row>
    <row r="72" spans="1:3">
      <c r="A72" s="988" t="s">
        <v>766</v>
      </c>
      <c r="B72" s="584" t="s">
        <v>768</v>
      </c>
      <c r="C72" t="str">
        <f t="shared" si="1"/>
        <v>IDFC First Bank :</v>
      </c>
    </row>
    <row r="73" spans="1:3">
      <c r="A73" s="988" t="s">
        <v>766</v>
      </c>
      <c r="B73" s="584" t="s">
        <v>769</v>
      </c>
      <c r="C73" t="str">
        <f t="shared" si="1"/>
        <v>Polycab India:</v>
      </c>
    </row>
    <row r="74" spans="1:3">
      <c r="A74" s="988" t="s">
        <v>766</v>
      </c>
      <c r="B74" s="584" t="s">
        <v>740</v>
      </c>
      <c r="C74" t="str">
        <f t="shared" si="1"/>
        <v>Fine Organic Industries :</v>
      </c>
    </row>
    <row r="75" spans="1:3">
      <c r="A75" s="988" t="s">
        <v>766</v>
      </c>
      <c r="B75" s="584" t="s">
        <v>694</v>
      </c>
      <c r="C75" t="str">
        <f t="shared" si="1"/>
        <v>Senco Gold</v>
      </c>
    </row>
    <row r="76" spans="1:3">
      <c r="A76" s="988" t="s">
        <v>766</v>
      </c>
      <c r="B76" s="584" t="s">
        <v>770</v>
      </c>
      <c r="C76" t="str">
        <f t="shared" si="1"/>
        <v>Star Health and Allied Insurance Company</v>
      </c>
    </row>
    <row r="77" spans="1:3">
      <c r="A77" s="988" t="s">
        <v>766</v>
      </c>
      <c r="B77" s="584" t="s">
        <v>745</v>
      </c>
      <c r="C77" t="str">
        <f t="shared" si="1"/>
        <v>Bharti Airtel</v>
      </c>
    </row>
    <row r="78" spans="1:3">
      <c r="A78" s="988" t="s">
        <v>766</v>
      </c>
      <c r="B78" s="584" t="s">
        <v>771</v>
      </c>
      <c r="C78" t="str">
        <f t="shared" si="1"/>
        <v>Poonawalla Fincorp:</v>
      </c>
    </row>
    <row r="79" spans="1:3">
      <c r="A79" s="988" t="s">
        <v>766</v>
      </c>
      <c r="B79" s="584" t="s">
        <v>772</v>
      </c>
      <c r="C79" t="str">
        <f t="shared" si="1"/>
        <v>Tube Investments of India :</v>
      </c>
    </row>
    <row r="80" spans="1:3">
      <c r="A80" s="988" t="s">
        <v>766</v>
      </c>
      <c r="B80" s="584" t="s">
        <v>773</v>
      </c>
      <c r="C80" t="str">
        <f t="shared" si="1"/>
        <v>Kaynes Technology India</v>
      </c>
    </row>
    <row r="81" spans="1:3">
      <c r="A81" s="988" t="s">
        <v>766</v>
      </c>
      <c r="B81" s="584" t="s">
        <v>774</v>
      </c>
      <c r="C81" t="str">
        <f t="shared" si="1"/>
        <v>CE Info Systems</v>
      </c>
    </row>
    <row r="82" spans="1:3">
      <c r="A82" s="988" t="s">
        <v>766</v>
      </c>
      <c r="B82" s="584" t="s">
        <v>764</v>
      </c>
      <c r="C82" t="str">
        <f t="shared" si="1"/>
        <v>KPIT Technologies</v>
      </c>
    </row>
    <row r="83" spans="1:3">
      <c r="A83" s="988" t="s">
        <v>766</v>
      </c>
      <c r="B83" s="584" t="s">
        <v>775</v>
      </c>
      <c r="C83" t="str">
        <f t="shared" si="1"/>
        <v>Electronics Mart Indi</v>
      </c>
    </row>
    <row r="84" spans="1:3">
      <c r="A84" s="988" t="s">
        <v>766</v>
      </c>
      <c r="B84" s="584" t="s">
        <v>776</v>
      </c>
      <c r="C84" t="str">
        <f t="shared" si="1"/>
        <v>Tata Motors</v>
      </c>
    </row>
    <row r="85" spans="1:3">
      <c r="A85" s="988" t="s">
        <v>766</v>
      </c>
      <c r="B85" s="584" t="s">
        <v>777</v>
      </c>
      <c r="C85" t="str">
        <f t="shared" si="1"/>
        <v>Max Healthcare Institute</v>
      </c>
    </row>
    <row r="86" spans="1:3">
      <c r="A86" s="584" t="s">
        <v>778</v>
      </c>
      <c r="B86" s="584" t="s">
        <v>779</v>
      </c>
      <c r="C86" t="str">
        <f t="shared" si="1"/>
        <v>Macrotech Developers :</v>
      </c>
    </row>
    <row r="87" spans="1:3">
      <c r="A87" s="584" t="s">
        <v>778</v>
      </c>
      <c r="B87" s="584" t="s">
        <v>780</v>
      </c>
      <c r="C87" t="str">
        <f t="shared" si="1"/>
        <v>The Phoenix Mills:</v>
      </c>
    </row>
    <row r="88" spans="1:3">
      <c r="A88" s="584" t="s">
        <v>778</v>
      </c>
      <c r="B88" s="584" t="s">
        <v>781</v>
      </c>
      <c r="C88" t="str">
        <f t="shared" si="1"/>
        <v>Mahindra &amp; Mahindra :</v>
      </c>
    </row>
    <row r="89" spans="1:3">
      <c r="A89" s="584" t="s">
        <v>778</v>
      </c>
      <c r="B89" s="584" t="s">
        <v>782</v>
      </c>
      <c r="C89" t="str">
        <f t="shared" si="1"/>
        <v>Brigade Enterprises :</v>
      </c>
    </row>
    <row r="90" spans="1:3">
      <c r="A90" s="584" t="s">
        <v>778</v>
      </c>
      <c r="B90" s="584" t="s">
        <v>783</v>
      </c>
      <c r="C90" t="str">
        <f t="shared" si="1"/>
        <v>Power Finance Corporation:</v>
      </c>
    </row>
    <row r="91" spans="1:3">
      <c r="A91" s="584" t="s">
        <v>778</v>
      </c>
      <c r="B91" s="584" t="s">
        <v>784</v>
      </c>
      <c r="C91" t="str">
        <f t="shared" si="1"/>
        <v>Triveni Turbine :</v>
      </c>
    </row>
    <row r="92" spans="1:3">
      <c r="A92" s="584" t="s">
        <v>778</v>
      </c>
      <c r="B92" s="584" t="s">
        <v>785</v>
      </c>
      <c r="C92" t="str">
        <f t="shared" si="1"/>
        <v>Godrej Properties :</v>
      </c>
    </row>
    <row r="93" spans="1:3">
      <c r="A93" s="584" t="s">
        <v>778</v>
      </c>
      <c r="B93" s="584" t="s">
        <v>786</v>
      </c>
      <c r="C93" t="str">
        <f t="shared" si="1"/>
        <v>Oberoi Realty :</v>
      </c>
    </row>
    <row r="94" spans="1:3">
      <c r="A94" s="584" t="s">
        <v>778</v>
      </c>
      <c r="B94" s="584" t="s">
        <v>1925</v>
      </c>
      <c r="C94" t="str">
        <f t="shared" si="1"/>
        <v>© IRB Infrastructure Developers :</v>
      </c>
    </row>
    <row r="95" spans="1:3">
      <c r="A95" s="584" t="s">
        <v>778</v>
      </c>
      <c r="B95" s="584" t="s">
        <v>788</v>
      </c>
      <c r="C95" t="str">
        <f t="shared" si="1"/>
        <v>Bharat Electronics :</v>
      </c>
    </row>
    <row r="96" spans="1:3">
      <c r="A96" s="584" t="s">
        <v>778</v>
      </c>
      <c r="B96" s="584" t="s">
        <v>789</v>
      </c>
      <c r="C96" t="str">
        <f t="shared" si="1"/>
        <v>Canara Bank :</v>
      </c>
    </row>
    <row r="97" spans="1:3">
      <c r="A97" s="584" t="s">
        <v>778</v>
      </c>
      <c r="B97" s="584" t="s">
        <v>790</v>
      </c>
      <c r="C97" t="str">
        <f t="shared" si="1"/>
        <v>Interglobe Aviation :</v>
      </c>
    </row>
    <row r="98" spans="1:3">
      <c r="A98" s="584" t="s">
        <v>778</v>
      </c>
      <c r="B98" s="584" t="s">
        <v>1926</v>
      </c>
      <c r="C98" t="str">
        <f t="shared" si="1"/>
        <v>•REC:</v>
      </c>
    </row>
    <row r="99" spans="1:3">
      <c r="A99" s="584" t="s">
        <v>778</v>
      </c>
      <c r="B99" s="584" t="s">
        <v>792</v>
      </c>
      <c r="C99" t="str">
        <f t="shared" si="1"/>
        <v>PB Fintech :</v>
      </c>
    </row>
    <row r="100" spans="1:3">
      <c r="A100" s="584" t="s">
        <v>778</v>
      </c>
      <c r="B100" s="584" t="s">
        <v>793</v>
      </c>
      <c r="C100" t="str">
        <f t="shared" si="1"/>
        <v>Bharat Forge :</v>
      </c>
    </row>
    <row r="101" spans="1:3">
      <c r="A101" s="988" t="s">
        <v>794</v>
      </c>
      <c r="B101" s="584" t="s">
        <v>1023</v>
      </c>
      <c r="C101" t="str">
        <f t="shared" si="1"/>
        <v>Nippon India Multi Cap Fund(G)-Direct Plan (MF) : 11</v>
      </c>
    </row>
    <row r="102" spans="1:3">
      <c r="A102" s="988" t="s">
        <v>794</v>
      </c>
      <c r="B102" s="584" t="s">
        <v>1927</v>
      </c>
      <c r="C102" t="str">
        <f t="shared" si="1"/>
        <v>Parag Parikh Flexi Cap Fund(G)-Direct Plan (MF) : 11</v>
      </c>
    </row>
    <row r="103" spans="1:3">
      <c r="A103" s="988" t="s">
        <v>794</v>
      </c>
      <c r="B103" s="584" t="s">
        <v>1020</v>
      </c>
      <c r="C103" t="str">
        <f t="shared" si="1"/>
        <v>Kotak Emerging Equity Fund(G)-Direct Plan (MF) : 6</v>
      </c>
    </row>
    <row r="104" spans="1:3">
      <c r="A104" s="988" t="s">
        <v>794</v>
      </c>
      <c r="B104" s="584" t="s">
        <v>1928</v>
      </c>
      <c r="C104" t="str">
        <f t="shared" si="1"/>
        <v>DSP Small Cap Fund(G)-Direct Plan (MF) : 6</v>
      </c>
    </row>
    <row r="105" spans="1:3">
      <c r="A105" s="988" t="s">
        <v>794</v>
      </c>
      <c r="B105" s="584" t="s">
        <v>795</v>
      </c>
      <c r="C105" t="str">
        <f t="shared" si="1"/>
        <v>Bajaj Finance</v>
      </c>
    </row>
    <row r="106" spans="1:3">
      <c r="A106" s="988" t="s">
        <v>794</v>
      </c>
      <c r="B106" s="584" t="s">
        <v>796</v>
      </c>
      <c r="C106" t="str">
        <f t="shared" si="1"/>
        <v>Reliance Industries</v>
      </c>
    </row>
    <row r="107" spans="1:3">
      <c r="A107" s="988" t="s">
        <v>794</v>
      </c>
      <c r="B107" s="584" t="s">
        <v>1929</v>
      </c>
      <c r="C107" t="str">
        <f t="shared" si="1"/>
        <v>© Pl Industries</v>
      </c>
    </row>
    <row r="108" spans="1:3">
      <c r="A108" s="988" t="s">
        <v>794</v>
      </c>
      <c r="B108" s="584" t="s">
        <v>798</v>
      </c>
      <c r="C108" t="str">
        <f t="shared" si="1"/>
        <v>Tata Power Company</v>
      </c>
    </row>
    <row r="109" spans="1:3">
      <c r="A109" s="988" t="s">
        <v>794</v>
      </c>
      <c r="B109" s="584" t="s">
        <v>799</v>
      </c>
      <c r="C109" t="str">
        <f t="shared" si="1"/>
        <v>Kaynes Technology India</v>
      </c>
    </row>
    <row r="110" spans="1:3">
      <c r="A110" s="988" t="s">
        <v>794</v>
      </c>
      <c r="B110" s="584" t="s">
        <v>800</v>
      </c>
      <c r="C110" t="str">
        <f t="shared" si="1"/>
        <v>Zomato</v>
      </c>
    </row>
    <row r="111" spans="1:3">
      <c r="A111" s="988" t="s">
        <v>794</v>
      </c>
      <c r="B111" s="584" t="s">
        <v>801</v>
      </c>
      <c r="C111" t="str">
        <f t="shared" si="1"/>
        <v>KPIT Technologies</v>
      </c>
    </row>
    <row r="112" spans="1:3">
      <c r="A112" s="988" t="s">
        <v>794</v>
      </c>
      <c r="B112" s="584" t="s">
        <v>802</v>
      </c>
      <c r="C112" t="str">
        <f t="shared" si="1"/>
        <v>Poonawalla Fincorp:</v>
      </c>
    </row>
    <row r="113" spans="1:3">
      <c r="A113" s="988" t="s">
        <v>794</v>
      </c>
      <c r="B113" s="584" t="s">
        <v>803</v>
      </c>
      <c r="C113" t="str">
        <f t="shared" si="1"/>
        <v>Star Health and Allied Insurance Compan</v>
      </c>
    </row>
    <row r="114" spans="1:3">
      <c r="A114" s="988" t="s">
        <v>794</v>
      </c>
      <c r="B114" s="584" t="s">
        <v>804</v>
      </c>
      <c r="C114" t="str">
        <f t="shared" si="1"/>
        <v>IDFC First Bank</v>
      </c>
    </row>
    <row r="115" spans="1:3">
      <c r="A115" s="988" t="s">
        <v>794</v>
      </c>
      <c r="B115" s="584" t="s">
        <v>805</v>
      </c>
      <c r="C115" t="str">
        <f t="shared" si="1"/>
        <v>Avenue Supermart</v>
      </c>
    </row>
    <row r="116" spans="1:3">
      <c r="A116" s="988" t="s">
        <v>794</v>
      </c>
      <c r="B116" s="584" t="s">
        <v>806</v>
      </c>
      <c r="C116" t="str">
        <f t="shared" si="1"/>
        <v>Dr. Lal Pathlab</v>
      </c>
    </row>
    <row r="117" spans="1:3">
      <c r="A117" s="988" t="s">
        <v>794</v>
      </c>
      <c r="B117" s="584" t="s">
        <v>807</v>
      </c>
      <c r="C117" t="str">
        <f t="shared" si="1"/>
        <v>Polycab India</v>
      </c>
    </row>
    <row r="118" spans="1:3">
      <c r="A118" s="988" t="s">
        <v>794</v>
      </c>
      <c r="B118" s="584" t="s">
        <v>808</v>
      </c>
      <c r="C118" t="str">
        <f t="shared" si="1"/>
        <v>Kalyan Jewellers India:</v>
      </c>
    </row>
    <row r="119" spans="1:3">
      <c r="A119" s="988" t="s">
        <v>794</v>
      </c>
      <c r="B119" s="584" t="s">
        <v>1930</v>
      </c>
      <c r="C119" t="str">
        <f t="shared" si="1"/>
        <v>© Mirae Asset Tax Saver Fund(G)-Direct Plan (MF)</v>
      </c>
    </row>
    <row r="120" spans="1:3">
      <c r="A120" s="988" t="s">
        <v>794</v>
      </c>
      <c r="B120" s="584" t="s">
        <v>1931</v>
      </c>
      <c r="C120" t="str">
        <f t="shared" si="1"/>
        <v>ICICI Pru Corp Bond Fund(G)-Direct Plan (MF)</v>
      </c>
    </row>
  </sheetData>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699D12-BC03-4F42-8E3C-C4C726070920}">
  <dimension ref="A1"/>
  <sheetViews>
    <sheetView topLeftCell="A17" workbookViewId="0">
      <selection activeCell="R2" sqref="R2"/>
    </sheetView>
  </sheetViews>
  <sheetFormatPr defaultRowHeight="14.4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E80FAE-62EE-47F6-A6C5-8D82003F8D7E}">
  <dimension ref="A1:M25"/>
  <sheetViews>
    <sheetView topLeftCell="B1" zoomScale="70" zoomScaleNormal="70" workbookViewId="0">
      <pane xSplit="1" topLeftCell="D1" activePane="topRight" state="frozen"/>
      <selection pane="topRight" activeCell="A17" activeCellId="1" sqref="A16:XFD16 A17:XFD17"/>
      <selection activeCell="B1" sqref="B1"/>
    </sheetView>
  </sheetViews>
  <sheetFormatPr defaultColWidth="8.7109375" defaultRowHeight="14.45"/>
  <cols>
    <col min="1" max="1" width="0" style="196" hidden="1" customWidth="1"/>
    <col min="2" max="2" width="13.85546875" style="260" customWidth="1"/>
    <col min="3" max="6" width="8.7109375" style="260"/>
    <col min="7" max="7" width="8.7109375" style="1471"/>
    <col min="8" max="8" width="8.7109375" style="1472"/>
    <col min="9" max="9" width="8.7109375" style="260"/>
    <col min="10" max="10" width="10.5703125" style="260" customWidth="1"/>
    <col min="11" max="11" width="8.7109375" style="260"/>
    <col min="12" max="12" width="158.7109375" style="196" customWidth="1"/>
    <col min="13" max="13" width="80.5703125" style="196" customWidth="1"/>
    <col min="14" max="14" width="8.7109375" style="196"/>
    <col min="15" max="15" width="72" style="196" customWidth="1"/>
    <col min="16" max="16384" width="8.7109375" style="196"/>
  </cols>
  <sheetData>
    <row r="1" spans="1:13" s="414" customFormat="1" ht="50.1" customHeight="1">
      <c r="A1" s="413" t="s">
        <v>0</v>
      </c>
      <c r="B1" s="34" t="s">
        <v>1</v>
      </c>
      <c r="C1" s="34" t="s">
        <v>2</v>
      </c>
      <c r="D1" s="34" t="s">
        <v>3</v>
      </c>
      <c r="E1" s="34" t="s">
        <v>4</v>
      </c>
      <c r="F1" s="737" t="s">
        <v>5</v>
      </c>
      <c r="G1" s="772" t="s">
        <v>6</v>
      </c>
      <c r="H1" s="761" t="s">
        <v>7</v>
      </c>
      <c r="I1" s="714" t="s">
        <v>8</v>
      </c>
      <c r="J1" s="34" t="s">
        <v>9</v>
      </c>
      <c r="K1" s="34" t="s">
        <v>10</v>
      </c>
      <c r="L1" s="462"/>
      <c r="M1" s="413" t="s">
        <v>12</v>
      </c>
    </row>
    <row r="2" spans="1:13" s="371" customFormat="1" ht="80.099999999999994" customHeight="1">
      <c r="A2" s="1473">
        <v>1</v>
      </c>
      <c r="B2" s="176" t="s">
        <v>79</v>
      </c>
      <c r="C2" s="184">
        <v>146</v>
      </c>
      <c r="D2" s="184">
        <v>19.95</v>
      </c>
      <c r="E2" s="603">
        <v>18.3</v>
      </c>
      <c r="F2" s="830">
        <v>365.08499999999998</v>
      </c>
      <c r="G2" s="779">
        <v>25</v>
      </c>
      <c r="H2" s="768">
        <v>24</v>
      </c>
      <c r="I2" s="831">
        <v>600</v>
      </c>
      <c r="J2" s="470">
        <v>0.64345289453141064</v>
      </c>
      <c r="K2" s="471">
        <v>239.94412260158595</v>
      </c>
      <c r="L2" s="921" t="s">
        <v>80</v>
      </c>
    </row>
    <row r="3" spans="1:13" s="371" customFormat="1" ht="74.45" customHeight="1">
      <c r="A3" s="1473">
        <v>2</v>
      </c>
      <c r="B3" s="176" t="s">
        <v>79</v>
      </c>
      <c r="C3" s="184">
        <v>146</v>
      </c>
      <c r="D3" s="184">
        <v>19.95</v>
      </c>
      <c r="E3" s="603">
        <v>18.3</v>
      </c>
      <c r="F3" s="830">
        <v>365.08499999999998</v>
      </c>
      <c r="G3" s="779">
        <v>25</v>
      </c>
      <c r="H3" s="768">
        <v>20</v>
      </c>
      <c r="I3" s="831">
        <v>500</v>
      </c>
      <c r="J3" s="470">
        <v>0.36954407877617546</v>
      </c>
      <c r="K3" s="471">
        <v>199.95343550132162</v>
      </c>
      <c r="L3" s="371" t="s">
        <v>331</v>
      </c>
    </row>
    <row r="4" spans="1:13" s="1474" customFormat="1" ht="75.75" customHeight="1">
      <c r="A4" s="1474">
        <v>1</v>
      </c>
      <c r="B4" s="74" t="s">
        <v>273</v>
      </c>
      <c r="C4" s="51">
        <v>192</v>
      </c>
      <c r="D4" s="594">
        <v>20.73</v>
      </c>
      <c r="E4" s="51">
        <v>60.4</v>
      </c>
      <c r="F4" s="73">
        <v>1280.48</v>
      </c>
      <c r="G4" s="1445">
        <v>70</v>
      </c>
      <c r="H4" s="233">
        <v>25</v>
      </c>
      <c r="I4" s="51">
        <v>1750</v>
      </c>
      <c r="J4" s="72">
        <v>0.36667499687617133</v>
      </c>
      <c r="K4" s="73">
        <v>269.23497438460578</v>
      </c>
      <c r="L4" s="956" t="s">
        <v>274</v>
      </c>
      <c r="M4" s="419"/>
    </row>
    <row r="5" spans="1:13" s="1475" customFormat="1" ht="42">
      <c r="A5" s="1474">
        <v>2</v>
      </c>
      <c r="B5" s="74" t="s">
        <v>275</v>
      </c>
      <c r="C5" s="51">
        <v>192</v>
      </c>
      <c r="D5" s="594">
        <v>20.73</v>
      </c>
      <c r="E5" s="52">
        <v>60.4</v>
      </c>
      <c r="F5" s="54">
        <v>1280.48</v>
      </c>
      <c r="G5" s="1446">
        <v>70</v>
      </c>
      <c r="H5" s="235">
        <v>30</v>
      </c>
      <c r="I5" s="52">
        <v>2100</v>
      </c>
      <c r="J5" s="53">
        <v>0.64000999625140564</v>
      </c>
      <c r="K5" s="54">
        <v>323.08196926152692</v>
      </c>
      <c r="L5" s="432" t="s">
        <v>332</v>
      </c>
      <c r="M5" s="432"/>
    </row>
    <row r="6" spans="1:13" s="1477" customFormat="1" ht="65.099999999999994">
      <c r="A6" s="462">
        <v>1</v>
      </c>
      <c r="B6" s="579" t="s">
        <v>333</v>
      </c>
      <c r="C6" s="35">
        <v>316</v>
      </c>
      <c r="D6" s="35">
        <v>17.559999999999999</v>
      </c>
      <c r="E6" s="35">
        <v>186</v>
      </c>
      <c r="F6" s="737">
        <v>3310.8</v>
      </c>
      <c r="G6" s="776">
        <v>207</v>
      </c>
      <c r="H6" s="765">
        <v>20</v>
      </c>
      <c r="I6" s="714">
        <v>4140</v>
      </c>
      <c r="J6" s="498">
        <v>0.25045306270387813</v>
      </c>
      <c r="K6" s="499">
        <v>401.3954331279449</v>
      </c>
      <c r="L6" s="1476" t="s">
        <v>334</v>
      </c>
      <c r="M6" s="580"/>
    </row>
    <row r="7" spans="1:13" s="1477" customFormat="1" ht="42">
      <c r="A7" s="462">
        <v>2</v>
      </c>
      <c r="B7" s="579" t="s">
        <v>333</v>
      </c>
      <c r="C7" s="35">
        <v>316</v>
      </c>
      <c r="D7" s="35">
        <v>17.559999999999999</v>
      </c>
      <c r="E7" s="35">
        <v>186</v>
      </c>
      <c r="F7" s="737">
        <v>3608.3999999999996</v>
      </c>
      <c r="G7" s="776">
        <v>207</v>
      </c>
      <c r="H7" s="765">
        <v>24</v>
      </c>
      <c r="I7" s="714">
        <v>4968</v>
      </c>
      <c r="J7" s="498">
        <v>0.37678749584303306</v>
      </c>
      <c r="K7" s="499">
        <v>479.12204855337552</v>
      </c>
      <c r="L7" s="462" t="s">
        <v>335</v>
      </c>
      <c r="M7" s="580"/>
    </row>
    <row r="8" spans="1:13" s="1478" customFormat="1" ht="131.1" customHeight="1">
      <c r="A8" s="423">
        <v>1</v>
      </c>
      <c r="B8" s="176" t="s">
        <v>118</v>
      </c>
      <c r="C8" s="179">
        <v>194</v>
      </c>
      <c r="D8" s="179">
        <v>13.1</v>
      </c>
      <c r="E8" s="179">
        <v>992</v>
      </c>
      <c r="F8" s="749">
        <f t="shared" ref="F8:F13" si="0">D8*E8</f>
        <v>12995.199999999999</v>
      </c>
      <c r="G8" s="776">
        <v>1160</v>
      </c>
      <c r="H8" s="765">
        <v>15</v>
      </c>
      <c r="I8" s="725">
        <f t="shared" ref="I8:I13" si="1">G8*H8</f>
        <v>17400</v>
      </c>
      <c r="J8" s="470">
        <f t="shared" ref="J8:J13" si="2">I8/F8-1</f>
        <v>0.3389559221866536</v>
      </c>
      <c r="K8" s="471">
        <f t="shared" ref="K8:K13" si="3">C8*(1+J8)</f>
        <v>259.75744890421078</v>
      </c>
      <c r="L8" s="422" t="s">
        <v>336</v>
      </c>
      <c r="M8" s="423" t="s">
        <v>120</v>
      </c>
    </row>
    <row r="9" spans="1:13" s="1479" customFormat="1" ht="102.6" customHeight="1">
      <c r="A9" s="423">
        <v>2</v>
      </c>
      <c r="B9" s="176" t="s">
        <v>118</v>
      </c>
      <c r="C9" s="179">
        <v>194</v>
      </c>
      <c r="D9" s="179">
        <v>13.1</v>
      </c>
      <c r="E9" s="179">
        <v>992</v>
      </c>
      <c r="F9" s="749">
        <f t="shared" si="0"/>
        <v>12995.199999999999</v>
      </c>
      <c r="G9" s="776">
        <v>1000</v>
      </c>
      <c r="H9" s="765">
        <v>29.7</v>
      </c>
      <c r="I9" s="725">
        <f t="shared" si="1"/>
        <v>29700</v>
      </c>
      <c r="J9" s="470">
        <f t="shared" si="2"/>
        <v>1.2854592464910124</v>
      </c>
      <c r="K9" s="471">
        <f t="shared" si="3"/>
        <v>443.37909381925641</v>
      </c>
      <c r="L9" s="423" t="s">
        <v>121</v>
      </c>
      <c r="M9" s="423" t="s">
        <v>122</v>
      </c>
    </row>
    <row r="10" spans="1:13" s="1481" customFormat="1" ht="107.45" customHeight="1">
      <c r="A10" s="1452">
        <v>1</v>
      </c>
      <c r="B10" s="1448" t="s">
        <v>123</v>
      </c>
      <c r="C10" s="1447">
        <v>1071</v>
      </c>
      <c r="D10" s="1447">
        <v>25.24</v>
      </c>
      <c r="E10" s="1447">
        <v>140</v>
      </c>
      <c r="F10" s="1449">
        <f t="shared" si="0"/>
        <v>3533.6</v>
      </c>
      <c r="G10" s="776">
        <v>164</v>
      </c>
      <c r="H10" s="765">
        <f>D10</f>
        <v>25.24</v>
      </c>
      <c r="I10" s="1450">
        <f t="shared" si="1"/>
        <v>4139.3599999999997</v>
      </c>
      <c r="J10" s="1487">
        <f t="shared" si="2"/>
        <v>0.17142857142857126</v>
      </c>
      <c r="K10" s="1490">
        <f t="shared" si="3"/>
        <v>1254.5999999999999</v>
      </c>
      <c r="L10" s="1451" t="s">
        <v>247</v>
      </c>
      <c r="M10" s="1480"/>
    </row>
    <row r="11" spans="1:13" s="1481" customFormat="1" ht="90.6" customHeight="1">
      <c r="A11" s="1452">
        <v>2</v>
      </c>
      <c r="B11" s="1448" t="s">
        <v>123</v>
      </c>
      <c r="C11" s="1447">
        <v>1071</v>
      </c>
      <c r="D11" s="1447">
        <v>25.24</v>
      </c>
      <c r="E11" s="1447">
        <v>140</v>
      </c>
      <c r="F11" s="1449">
        <f t="shared" si="0"/>
        <v>3533.6</v>
      </c>
      <c r="G11" s="776">
        <v>160</v>
      </c>
      <c r="H11" s="765">
        <v>28.2</v>
      </c>
      <c r="I11" s="1450">
        <f t="shared" si="1"/>
        <v>4512</v>
      </c>
      <c r="J11" s="1487">
        <f t="shared" si="2"/>
        <v>0.27688476341408208</v>
      </c>
      <c r="K11" s="1490">
        <f t="shared" si="3"/>
        <v>1367.543581616482</v>
      </c>
      <c r="L11" s="1452" t="s">
        <v>248</v>
      </c>
      <c r="M11" s="1480"/>
    </row>
    <row r="12" spans="1:13" s="1478" customFormat="1" ht="106.5" customHeight="1">
      <c r="A12" s="419">
        <v>1</v>
      </c>
      <c r="B12" s="74" t="s">
        <v>135</v>
      </c>
      <c r="C12" s="75">
        <v>1865</v>
      </c>
      <c r="D12" s="75">
        <v>40.24</v>
      </c>
      <c r="E12" s="75">
        <v>49.2</v>
      </c>
      <c r="F12" s="743">
        <f t="shared" si="0"/>
        <v>1979.8080000000002</v>
      </c>
      <c r="G12" s="776">
        <v>60</v>
      </c>
      <c r="H12" s="765">
        <v>40</v>
      </c>
      <c r="I12" s="720">
        <f t="shared" si="1"/>
        <v>2400</v>
      </c>
      <c r="J12" s="168">
        <f t="shared" si="2"/>
        <v>0.21223876254667107</v>
      </c>
      <c r="K12" s="169">
        <f t="shared" si="3"/>
        <v>2260.8252921495414</v>
      </c>
      <c r="L12" s="419" t="s">
        <v>337</v>
      </c>
      <c r="M12" s="414"/>
    </row>
    <row r="13" spans="1:13" s="1478" customFormat="1" ht="32.1" customHeight="1">
      <c r="A13" s="419">
        <v>2</v>
      </c>
      <c r="B13" s="74" t="s">
        <v>135</v>
      </c>
      <c r="C13" s="75">
        <v>1865</v>
      </c>
      <c r="D13" s="75">
        <v>40.24</v>
      </c>
      <c r="E13" s="75">
        <v>49.2</v>
      </c>
      <c r="F13" s="743">
        <f t="shared" si="0"/>
        <v>1979.8080000000002</v>
      </c>
      <c r="G13" s="776">
        <v>60</v>
      </c>
      <c r="H13" s="765">
        <v>30</v>
      </c>
      <c r="I13" s="720">
        <f t="shared" si="1"/>
        <v>1800</v>
      </c>
      <c r="J13" s="168">
        <f t="shared" si="2"/>
        <v>-9.0820928089996755E-2</v>
      </c>
      <c r="K13" s="169">
        <f t="shared" si="3"/>
        <v>1695.618969112156</v>
      </c>
      <c r="L13" s="419"/>
      <c r="M13" s="414"/>
    </row>
    <row r="14" spans="1:13" s="1480" customFormat="1" ht="51" customHeight="1">
      <c r="A14" s="1482">
        <v>1</v>
      </c>
      <c r="B14" s="1453" t="s">
        <v>261</v>
      </c>
      <c r="C14" s="1454">
        <v>267.75</v>
      </c>
      <c r="D14" s="1454">
        <v>31.21</v>
      </c>
      <c r="E14" s="1455">
        <v>19.399999999999999</v>
      </c>
      <c r="F14" s="1456">
        <v>537.38</v>
      </c>
      <c r="G14" s="781">
        <v>22</v>
      </c>
      <c r="H14" s="770">
        <v>30</v>
      </c>
      <c r="I14" s="1457">
        <v>660</v>
      </c>
      <c r="J14" s="1488">
        <v>0.2281811753321672</v>
      </c>
      <c r="K14" s="1491">
        <v>292.00007443522276</v>
      </c>
      <c r="L14" s="1458" t="s">
        <v>262</v>
      </c>
    </row>
    <row r="15" spans="1:13" s="1480" customFormat="1" ht="50.1" customHeight="1">
      <c r="A15" s="1482">
        <v>2</v>
      </c>
      <c r="B15" s="1453" t="s">
        <v>261</v>
      </c>
      <c r="C15" s="1454">
        <v>267.75</v>
      </c>
      <c r="D15" s="1454">
        <v>31.21</v>
      </c>
      <c r="E15" s="1455">
        <v>19.399999999999999</v>
      </c>
      <c r="F15" s="1456">
        <v>537.38</v>
      </c>
      <c r="G15" s="781">
        <v>20</v>
      </c>
      <c r="H15" s="770">
        <v>45</v>
      </c>
      <c r="I15" s="1457">
        <v>900</v>
      </c>
      <c r="J15" s="1488">
        <v>0.67479251181659161</v>
      </c>
      <c r="K15" s="1491">
        <v>398.18191968439464</v>
      </c>
      <c r="L15" s="1459"/>
    </row>
    <row r="16" spans="1:13" s="1474" customFormat="1" ht="112.5" customHeight="1">
      <c r="A16" s="1474">
        <v>1</v>
      </c>
      <c r="B16" s="74" t="s">
        <v>279</v>
      </c>
      <c r="C16" s="51">
        <v>1130</v>
      </c>
      <c r="D16" s="51">
        <v>28.83</v>
      </c>
      <c r="E16" s="51">
        <v>94</v>
      </c>
      <c r="F16" s="745">
        <f t="shared" ref="F16:F17" si="4">D16*E16</f>
        <v>2710.02</v>
      </c>
      <c r="G16" s="775">
        <f>60+53.52+8.42+4.6</f>
        <v>126.54</v>
      </c>
      <c r="H16" s="764">
        <v>45</v>
      </c>
      <c r="I16" s="722">
        <f t="shared" ref="I16:I17" si="5">G16*H16</f>
        <v>5694.3</v>
      </c>
      <c r="J16" s="72">
        <f t="shared" ref="J16:J17" si="6">I16/F16-1</f>
        <v>1.1012022051497774</v>
      </c>
      <c r="K16" s="73">
        <f t="shared" ref="K16:K17" si="7">C16*(1+J16)</f>
        <v>2374.3584918192487</v>
      </c>
      <c r="L16" s="419" t="s">
        <v>338</v>
      </c>
      <c r="M16" s="419"/>
    </row>
    <row r="17" spans="1:13" s="1474" customFormat="1" ht="119.45" customHeight="1">
      <c r="A17" s="1474">
        <v>2</v>
      </c>
      <c r="B17" s="74" t="s">
        <v>163</v>
      </c>
      <c r="C17" s="51">
        <v>1130</v>
      </c>
      <c r="D17" s="51">
        <v>28.83</v>
      </c>
      <c r="E17" s="51">
        <v>94</v>
      </c>
      <c r="F17" s="745">
        <f t="shared" si="4"/>
        <v>2710.02</v>
      </c>
      <c r="G17" s="775">
        <v>130</v>
      </c>
      <c r="H17" s="764">
        <v>40</v>
      </c>
      <c r="I17" s="722">
        <f t="shared" si="5"/>
        <v>5200</v>
      </c>
      <c r="J17" s="72">
        <f t="shared" si="6"/>
        <v>0.91880502726917146</v>
      </c>
      <c r="K17" s="73">
        <f t="shared" si="7"/>
        <v>2168.2496808141636</v>
      </c>
      <c r="L17" s="419" t="s">
        <v>281</v>
      </c>
      <c r="M17" s="419"/>
    </row>
    <row r="18" spans="1:13" s="1470" customFormat="1" ht="65.849999999999994" customHeight="1">
      <c r="A18" s="1483">
        <v>1</v>
      </c>
      <c r="B18" s="1460" t="s">
        <v>288</v>
      </c>
      <c r="C18" s="1462">
        <v>116.75</v>
      </c>
      <c r="D18" s="1462">
        <v>23.31</v>
      </c>
      <c r="E18" s="1463">
        <v>9</v>
      </c>
      <c r="F18" s="1464">
        <v>204.75</v>
      </c>
      <c r="G18" s="779">
        <v>22</v>
      </c>
      <c r="H18" s="768">
        <v>25</v>
      </c>
      <c r="I18" s="1465">
        <v>550</v>
      </c>
      <c r="J18" s="1489">
        <v>1.686202686202686</v>
      </c>
      <c r="K18" s="1492">
        <v>305.95848595848594</v>
      </c>
      <c r="L18" s="1466" t="s">
        <v>339</v>
      </c>
    </row>
    <row r="19" spans="1:13" s="1470" customFormat="1" ht="54.75" customHeight="1">
      <c r="A19" s="1483">
        <v>2</v>
      </c>
      <c r="B19" s="1460" t="s">
        <v>171</v>
      </c>
      <c r="C19" s="1462">
        <v>116.75</v>
      </c>
      <c r="D19" s="1462">
        <v>23.31</v>
      </c>
      <c r="E19" s="1463">
        <v>9</v>
      </c>
      <c r="F19" s="1464">
        <v>204.75</v>
      </c>
      <c r="G19" s="779">
        <v>22</v>
      </c>
      <c r="H19" s="768">
        <v>20</v>
      </c>
      <c r="I19" s="1465">
        <v>440</v>
      </c>
      <c r="J19" s="1489">
        <v>1.1489621489621489</v>
      </c>
      <c r="K19" s="1492">
        <v>244.76678876678878</v>
      </c>
      <c r="L19" s="1466" t="s">
        <v>340</v>
      </c>
    </row>
    <row r="20" spans="1:13" s="1477" customFormat="1" ht="71.849999999999994" customHeight="1">
      <c r="A20" s="1484">
        <v>1</v>
      </c>
      <c r="B20" s="34" t="s">
        <v>295</v>
      </c>
      <c r="C20" s="460">
        <v>1577</v>
      </c>
      <c r="D20" s="460">
        <v>27.4</v>
      </c>
      <c r="E20" s="460">
        <v>361</v>
      </c>
      <c r="F20" s="757">
        <f>D20*E20</f>
        <v>9891.4</v>
      </c>
      <c r="G20" s="775">
        <v>400</v>
      </c>
      <c r="H20" s="764">
        <v>27.4</v>
      </c>
      <c r="I20" s="733">
        <f>G20*H20</f>
        <v>10960</v>
      </c>
      <c r="J20" s="231">
        <f>I20/F20-1</f>
        <v>0.10803324099723</v>
      </c>
      <c r="K20" s="461">
        <f>C20*(1+J20)</f>
        <v>1747.3684210526317</v>
      </c>
      <c r="L20" s="462" t="s">
        <v>341</v>
      </c>
      <c r="M20" s="580"/>
    </row>
    <row r="21" spans="1:13" s="1477" customFormat="1" ht="99.75" customHeight="1">
      <c r="A21" s="1484">
        <v>2</v>
      </c>
      <c r="B21" s="34" t="s">
        <v>295</v>
      </c>
      <c r="C21" s="460">
        <v>1577</v>
      </c>
      <c r="D21" s="460">
        <v>27.4</v>
      </c>
      <c r="E21" s="460">
        <v>361</v>
      </c>
      <c r="F21" s="757">
        <f>D21*E21</f>
        <v>9891.4</v>
      </c>
      <c r="G21" s="775">
        <v>400</v>
      </c>
      <c r="H21" s="764">
        <v>30</v>
      </c>
      <c r="I21" s="733">
        <f>G21*H21</f>
        <v>12000</v>
      </c>
      <c r="J21" s="231">
        <f>I21/F21-1</f>
        <v>0.21317508138382846</v>
      </c>
      <c r="K21" s="461">
        <f>C21*(1+J21)</f>
        <v>1913.1771033422974</v>
      </c>
      <c r="L21" s="462" t="s">
        <v>297</v>
      </c>
      <c r="M21" s="580"/>
    </row>
    <row r="22" spans="1:13" s="1470" customFormat="1" ht="44.1" customHeight="1">
      <c r="A22" s="1485">
        <v>1</v>
      </c>
      <c r="B22" s="1460" t="s">
        <v>205</v>
      </c>
      <c r="C22" s="1461">
        <v>238</v>
      </c>
      <c r="D22" s="1461">
        <v>42.4</v>
      </c>
      <c r="E22" s="1467">
        <v>14</v>
      </c>
      <c r="F22" s="1468">
        <v>593.6</v>
      </c>
      <c r="G22" s="776">
        <v>21</v>
      </c>
      <c r="H22" s="765">
        <v>45</v>
      </c>
      <c r="I22" s="1469">
        <v>945</v>
      </c>
      <c r="J22" s="1489">
        <v>0.59198113207547154</v>
      </c>
      <c r="K22" s="1492">
        <v>378.8915094339622</v>
      </c>
      <c r="L22" s="1470" t="s">
        <v>342</v>
      </c>
    </row>
    <row r="23" spans="1:13" s="1470" customFormat="1" ht="369.75" customHeight="1">
      <c r="A23" s="1485">
        <v>2</v>
      </c>
      <c r="B23" s="1460" t="s">
        <v>205</v>
      </c>
      <c r="C23" s="1461">
        <v>238</v>
      </c>
      <c r="D23" s="1461">
        <v>42.4</v>
      </c>
      <c r="E23" s="1467">
        <v>14</v>
      </c>
      <c r="F23" s="1468">
        <v>593.6</v>
      </c>
      <c r="G23" s="776">
        <v>21</v>
      </c>
      <c r="H23" s="765">
        <v>35</v>
      </c>
      <c r="I23" s="1469">
        <v>861</v>
      </c>
      <c r="J23" s="1489">
        <v>0.45047169811320753</v>
      </c>
      <c r="K23" s="1492">
        <v>345.21226415094338</v>
      </c>
      <c r="L23" s="1470" t="s">
        <v>343</v>
      </c>
    </row>
    <row r="24" spans="1:13" s="414" customFormat="1" ht="76.349999999999994" customHeight="1">
      <c r="A24" s="1486">
        <v>1</v>
      </c>
      <c r="B24" s="74" t="s">
        <v>316</v>
      </c>
      <c r="C24" s="75">
        <v>360</v>
      </c>
      <c r="D24" s="75">
        <v>23.3</v>
      </c>
      <c r="E24" s="587">
        <v>22.9</v>
      </c>
      <c r="F24" s="743">
        <v>533.56999999999994</v>
      </c>
      <c r="G24" s="776">
        <v>33</v>
      </c>
      <c r="H24" s="765">
        <v>23</v>
      </c>
      <c r="I24" s="720">
        <v>759</v>
      </c>
      <c r="J24" s="168">
        <v>0.42249376839027697</v>
      </c>
      <c r="K24" s="169">
        <v>512.09775662049969</v>
      </c>
      <c r="L24" s="419" t="s">
        <v>344</v>
      </c>
    </row>
    <row r="25" spans="1:13" s="414" customFormat="1" ht="59.85" customHeight="1">
      <c r="A25" s="1486">
        <v>2</v>
      </c>
      <c r="B25" s="74" t="s">
        <v>345</v>
      </c>
      <c r="C25" s="75">
        <v>360</v>
      </c>
      <c r="D25" s="75">
        <v>23.3</v>
      </c>
      <c r="E25" s="587">
        <v>22.9</v>
      </c>
      <c r="F25" s="743">
        <v>533.56999999999994</v>
      </c>
      <c r="G25" s="776">
        <v>33</v>
      </c>
      <c r="H25" s="765">
        <v>30</v>
      </c>
      <c r="I25" s="720">
        <v>990</v>
      </c>
      <c r="J25" s="168">
        <v>0.85542665442210031</v>
      </c>
      <c r="K25" s="169">
        <v>667.95359559195606</v>
      </c>
      <c r="L25" s="419" t="s">
        <v>319</v>
      </c>
    </row>
  </sheetData>
  <autoFilter ref="A1:M25" xr:uid="{C1E80FAE-62EE-47F6-A6C5-8D82003F8D7E}"/>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232BDE-A6A1-46E7-B720-2E269757B047}">
  <sheetPr codeName="Sheet1"/>
  <dimension ref="A1:N100"/>
  <sheetViews>
    <sheetView topLeftCell="A48" zoomScaleNormal="100" workbookViewId="0">
      <pane xSplit="2" topLeftCell="C1" activePane="topRight" state="frozen"/>
      <selection pane="topRight" activeCell="C63" sqref="C63"/>
      <selection activeCell="B1" sqref="B1"/>
    </sheetView>
  </sheetViews>
  <sheetFormatPr defaultColWidth="8.7109375" defaultRowHeight="14.45"/>
  <cols>
    <col min="1" max="1" width="6.28515625" style="378" customWidth="1"/>
    <col min="2" max="2" width="23.28515625" style="380" customWidth="1"/>
    <col min="3" max="3" width="10.7109375" style="378" customWidth="1"/>
    <col min="4" max="4" width="9" style="962" bestFit="1" customWidth="1"/>
    <col min="5" max="5" width="10.7109375" style="378" customWidth="1"/>
    <col min="6" max="6" width="11.7109375" style="963" customWidth="1"/>
    <col min="7" max="7" width="10.5703125" style="613" customWidth="1"/>
    <col min="8" max="8" width="10.5703125" style="961" customWidth="1"/>
    <col min="9" max="9" width="11.42578125" style="378" customWidth="1"/>
    <col min="10" max="10" width="12.5703125" style="378" customWidth="1"/>
    <col min="11" max="11" width="11.7109375" style="378" customWidth="1"/>
    <col min="12" max="12" width="115.42578125" style="951" customWidth="1"/>
    <col min="13" max="13" width="134.5703125" style="979" customWidth="1"/>
    <col min="14" max="14" width="77.28515625" style="378" customWidth="1"/>
    <col min="15" max="16384" width="8.7109375" style="378"/>
  </cols>
  <sheetData>
    <row r="1" spans="1:14" s="946" customFormat="1" ht="39">
      <c r="A1" s="155" t="s">
        <v>0</v>
      </c>
      <c r="B1" s="155" t="s">
        <v>1</v>
      </c>
      <c r="C1" s="155" t="s">
        <v>2</v>
      </c>
      <c r="D1" s="939" t="s">
        <v>3</v>
      </c>
      <c r="E1" s="155" t="s">
        <v>4</v>
      </c>
      <c r="F1" s="945" t="s">
        <v>5</v>
      </c>
      <c r="G1" s="46" t="s">
        <v>6</v>
      </c>
      <c r="H1" s="232" t="s">
        <v>7</v>
      </c>
      <c r="I1" s="155" t="s">
        <v>8</v>
      </c>
      <c r="J1" s="155" t="s">
        <v>9</v>
      </c>
      <c r="K1" s="155" t="s">
        <v>10</v>
      </c>
      <c r="L1" s="940" t="s">
        <v>12</v>
      </c>
      <c r="M1" s="977" t="s">
        <v>346</v>
      </c>
    </row>
    <row r="2" spans="1:14" s="392" customFormat="1" ht="137.1" customHeight="1">
      <c r="A2" s="531">
        <v>1</v>
      </c>
      <c r="B2" s="46" t="s">
        <v>53</v>
      </c>
      <c r="C2" s="531">
        <v>515</v>
      </c>
      <c r="D2" s="697">
        <v>182</v>
      </c>
      <c r="E2" s="531">
        <v>18.600000000000001</v>
      </c>
      <c r="F2" s="533">
        <f t="shared" ref="F2:F13" si="0">D2*E2</f>
        <v>3385.2000000000003</v>
      </c>
      <c r="G2" s="531">
        <v>78</v>
      </c>
      <c r="H2" s="515">
        <v>64</v>
      </c>
      <c r="I2" s="531">
        <f t="shared" ref="I2:I13" si="1">G2*H2</f>
        <v>4992</v>
      </c>
      <c r="J2" s="532">
        <f t="shared" ref="J2:J13" si="2">I2/F2-1</f>
        <v>0.47465437788018416</v>
      </c>
      <c r="K2" s="533">
        <f t="shared" ref="K2:K12" si="3">C2*(1+J2)</f>
        <v>759.44700460829483</v>
      </c>
      <c r="L2" s="369" t="s">
        <v>347</v>
      </c>
      <c r="M2" s="973" t="s">
        <v>348</v>
      </c>
      <c r="N2" s="947" t="s">
        <v>349</v>
      </c>
    </row>
    <row r="3" spans="1:14" s="392" customFormat="1" ht="175.35" customHeight="1">
      <c r="A3" s="531">
        <v>2</v>
      </c>
      <c r="B3" s="46" t="s">
        <v>53</v>
      </c>
      <c r="C3" s="531">
        <v>515</v>
      </c>
      <c r="D3" s="697">
        <v>182</v>
      </c>
      <c r="E3" s="531">
        <v>18.600000000000001</v>
      </c>
      <c r="F3" s="533">
        <f t="shared" si="0"/>
        <v>3385.2000000000003</v>
      </c>
      <c r="G3" s="531">
        <v>78</v>
      </c>
      <c r="H3" s="515">
        <v>75</v>
      </c>
      <c r="I3" s="531">
        <f t="shared" si="1"/>
        <v>5850</v>
      </c>
      <c r="J3" s="532">
        <f t="shared" si="2"/>
        <v>0.72811059907834097</v>
      </c>
      <c r="K3" s="533">
        <f t="shared" si="3"/>
        <v>889.97695852534559</v>
      </c>
      <c r="L3" s="369" t="s">
        <v>350</v>
      </c>
      <c r="M3" s="973" t="s">
        <v>348</v>
      </c>
    </row>
    <row r="4" spans="1:14" s="948" customFormat="1" ht="201" customHeight="1">
      <c r="A4" s="511"/>
      <c r="B4" s="78" t="s">
        <v>351</v>
      </c>
      <c r="C4" s="511">
        <v>514</v>
      </c>
      <c r="D4" s="695">
        <v>0</v>
      </c>
      <c r="E4" s="511">
        <v>-53</v>
      </c>
      <c r="F4" s="513">
        <v>6713</v>
      </c>
      <c r="G4" s="531">
        <v>78</v>
      </c>
      <c r="H4" s="515"/>
      <c r="I4" s="511">
        <f t="shared" ref="I4" si="4">G4*H4</f>
        <v>0</v>
      </c>
      <c r="J4" s="512">
        <f t="shared" ref="J4" si="5">I4/F4-1</f>
        <v>-1</v>
      </c>
      <c r="K4" s="513">
        <f t="shared" ref="K4" si="6">C4*(1+J4)</f>
        <v>0</v>
      </c>
      <c r="L4" s="363" t="s">
        <v>352</v>
      </c>
      <c r="M4" s="971"/>
    </row>
    <row r="5" spans="1:14" s="948" customFormat="1" ht="188.1" customHeight="1">
      <c r="A5" s="511"/>
      <c r="B5" s="78" t="s">
        <v>351</v>
      </c>
      <c r="C5" s="511"/>
      <c r="D5" s="695"/>
      <c r="E5" s="511"/>
      <c r="F5" s="513"/>
      <c r="G5" s="531"/>
      <c r="H5" s="515"/>
      <c r="I5" s="511"/>
      <c r="J5" s="512"/>
      <c r="K5" s="513"/>
      <c r="L5" s="363" t="s">
        <v>353</v>
      </c>
      <c r="M5" s="971"/>
    </row>
    <row r="6" spans="1:14" s="948" customFormat="1" ht="63" customHeight="1">
      <c r="A6" s="511">
        <v>1</v>
      </c>
      <c r="B6" s="78" t="s">
        <v>354</v>
      </c>
      <c r="C6" s="511"/>
      <c r="D6" s="695"/>
      <c r="E6" s="511"/>
      <c r="F6" s="513"/>
      <c r="G6" s="531"/>
      <c r="H6" s="515"/>
      <c r="I6" s="511"/>
      <c r="J6" s="512"/>
      <c r="K6" s="513"/>
      <c r="L6" s="363"/>
      <c r="M6" s="971"/>
    </row>
    <row r="7" spans="1:14" s="948" customFormat="1" ht="47.1" customHeight="1">
      <c r="A7" s="511">
        <v>2</v>
      </c>
      <c r="B7" s="78" t="s">
        <v>354</v>
      </c>
      <c r="C7" s="511"/>
      <c r="D7" s="695"/>
      <c r="E7" s="511"/>
      <c r="F7" s="513"/>
      <c r="G7" s="531"/>
      <c r="H7" s="515"/>
      <c r="I7" s="511"/>
      <c r="J7" s="512"/>
      <c r="K7" s="513"/>
      <c r="L7" s="363"/>
      <c r="M7" s="971"/>
    </row>
    <row r="8" spans="1:14" s="613" customFormat="1" ht="35.85" customHeight="1">
      <c r="A8" s="531">
        <v>1</v>
      </c>
      <c r="B8" s="46" t="s">
        <v>22</v>
      </c>
      <c r="C8" s="531">
        <v>6778</v>
      </c>
      <c r="D8" s="697">
        <v>28.1</v>
      </c>
      <c r="E8" s="531">
        <v>14926</v>
      </c>
      <c r="F8" s="533">
        <f t="shared" si="0"/>
        <v>419420.60000000003</v>
      </c>
      <c r="G8" s="531">
        <v>17865</v>
      </c>
      <c r="H8" s="515">
        <f>D8</f>
        <v>28.1</v>
      </c>
      <c r="I8" s="531">
        <f t="shared" si="1"/>
        <v>502006.5</v>
      </c>
      <c r="J8" s="532">
        <f t="shared" si="2"/>
        <v>0.19690473000133979</v>
      </c>
      <c r="K8" s="533">
        <f t="shared" si="3"/>
        <v>8112.6202599490807</v>
      </c>
      <c r="L8" s="369"/>
      <c r="M8" s="972" t="s">
        <v>355</v>
      </c>
    </row>
    <row r="9" spans="1:14" s="613" customFormat="1" ht="32.1" customHeight="1">
      <c r="A9" s="531">
        <v>2</v>
      </c>
      <c r="B9" s="46" t="s">
        <v>22</v>
      </c>
      <c r="C9" s="531">
        <v>6778</v>
      </c>
      <c r="D9" s="697">
        <v>28.1</v>
      </c>
      <c r="E9" s="531">
        <v>14926</v>
      </c>
      <c r="F9" s="533">
        <f t="shared" si="0"/>
        <v>419420.60000000003</v>
      </c>
      <c r="G9" s="531">
        <v>17865</v>
      </c>
      <c r="H9" s="515">
        <v>24</v>
      </c>
      <c r="I9" s="531">
        <f t="shared" si="1"/>
        <v>428760</v>
      </c>
      <c r="J9" s="532">
        <f t="shared" si="2"/>
        <v>2.2267385054525191E-2</v>
      </c>
      <c r="K9" s="533">
        <f t="shared" si="3"/>
        <v>6928.9283358995717</v>
      </c>
      <c r="L9" s="369"/>
      <c r="M9" s="972" t="s">
        <v>355</v>
      </c>
    </row>
    <row r="10" spans="1:14" s="949" customFormat="1">
      <c r="A10" s="511">
        <v>1</v>
      </c>
      <c r="B10" s="78" t="s">
        <v>356</v>
      </c>
      <c r="C10" s="511">
        <v>5898</v>
      </c>
      <c r="D10" s="695">
        <v>64.400000000000006</v>
      </c>
      <c r="E10" s="511">
        <v>2184</v>
      </c>
      <c r="F10" s="513">
        <f t="shared" ref="F10" si="7">D10*E10</f>
        <v>140649.60000000001</v>
      </c>
      <c r="G10" s="531" t="s">
        <v>21</v>
      </c>
      <c r="H10" s="515">
        <f>D10</f>
        <v>64.400000000000006</v>
      </c>
      <c r="I10" s="511" t="e">
        <f t="shared" ref="I10" si="8">G10*H10</f>
        <v>#VALUE!</v>
      </c>
      <c r="J10" s="512" t="e">
        <f t="shared" ref="J10" si="9">I10/F10-1</f>
        <v>#VALUE!</v>
      </c>
      <c r="K10" s="513" t="e">
        <f t="shared" si="3"/>
        <v>#VALUE!</v>
      </c>
      <c r="L10" s="363"/>
      <c r="M10" s="978"/>
    </row>
    <row r="11" spans="1:14" s="949" customFormat="1">
      <c r="A11" s="511">
        <v>2</v>
      </c>
      <c r="B11" s="78" t="s">
        <v>356</v>
      </c>
      <c r="C11" s="511">
        <v>5842</v>
      </c>
      <c r="D11" s="695">
        <v>65.900000000000006</v>
      </c>
      <c r="E11" s="511">
        <v>2134</v>
      </c>
      <c r="F11" s="513">
        <f t="shared" ref="F11" si="10">D11*E11</f>
        <v>140630.6</v>
      </c>
      <c r="G11" s="531" t="s">
        <v>21</v>
      </c>
      <c r="H11" s="515">
        <v>55.3</v>
      </c>
      <c r="I11" s="511" t="e">
        <f t="shared" ref="I11" si="11">G11*H11</f>
        <v>#VALUE!</v>
      </c>
      <c r="J11" s="512" t="e">
        <f t="shared" ref="J11" si="12">I11/F11-1</f>
        <v>#VALUE!</v>
      </c>
      <c r="K11" s="513" t="e">
        <f t="shared" si="3"/>
        <v>#VALUE!</v>
      </c>
      <c r="L11" s="363"/>
      <c r="M11" s="978"/>
    </row>
    <row r="12" spans="1:14" s="392" customFormat="1" ht="148.5" customHeight="1">
      <c r="A12" s="531">
        <v>1</v>
      </c>
      <c r="B12" s="46" t="s">
        <v>18</v>
      </c>
      <c r="C12" s="531">
        <v>8023</v>
      </c>
      <c r="D12" s="697">
        <v>65</v>
      </c>
      <c r="E12" s="531">
        <v>293</v>
      </c>
      <c r="F12" s="533">
        <f t="shared" si="0"/>
        <v>19045</v>
      </c>
      <c r="G12" s="531">
        <v>320</v>
      </c>
      <c r="H12" s="515">
        <v>60</v>
      </c>
      <c r="I12" s="531">
        <f t="shared" si="1"/>
        <v>19200</v>
      </c>
      <c r="J12" s="532">
        <f t="shared" si="2"/>
        <v>8.1386190601206998E-3</v>
      </c>
      <c r="K12" s="533">
        <f t="shared" si="3"/>
        <v>8088.2961407193479</v>
      </c>
      <c r="L12" s="923" t="s">
        <v>357</v>
      </c>
      <c r="M12" s="973" t="s">
        <v>355</v>
      </c>
    </row>
    <row r="13" spans="1:14" s="392" customFormat="1" ht="78">
      <c r="A13" s="531">
        <v>2</v>
      </c>
      <c r="B13" s="46" t="s">
        <v>18</v>
      </c>
      <c r="C13" s="531">
        <v>8023</v>
      </c>
      <c r="D13" s="697">
        <v>69.8</v>
      </c>
      <c r="E13" s="531">
        <v>293</v>
      </c>
      <c r="F13" s="533">
        <f t="shared" si="0"/>
        <v>20451.399999999998</v>
      </c>
      <c r="G13" s="531">
        <v>320</v>
      </c>
      <c r="H13" s="515">
        <v>63</v>
      </c>
      <c r="I13" s="531">
        <f t="shared" si="1"/>
        <v>20160</v>
      </c>
      <c r="J13" s="532">
        <f t="shared" si="2"/>
        <v>-1.4248413311558017E-2</v>
      </c>
      <c r="K13" s="533"/>
      <c r="L13" s="369" t="s">
        <v>358</v>
      </c>
      <c r="M13" s="973" t="s">
        <v>355</v>
      </c>
    </row>
    <row r="14" spans="1:14">
      <c r="A14" s="381"/>
      <c r="B14" s="41" t="s">
        <v>359</v>
      </c>
      <c r="C14" s="381"/>
      <c r="D14" s="694"/>
      <c r="E14" s="381"/>
      <c r="F14" s="510"/>
      <c r="G14" s="1018"/>
      <c r="H14" s="950"/>
      <c r="I14" s="381"/>
      <c r="J14" s="509"/>
      <c r="K14" s="510"/>
      <c r="L14" s="362"/>
    </row>
    <row r="15" spans="1:14">
      <c r="A15" s="381">
        <v>1</v>
      </c>
      <c r="B15" s="41" t="s">
        <v>41</v>
      </c>
      <c r="C15" s="381">
        <v>2793</v>
      </c>
      <c r="D15" s="694">
        <v>46.7</v>
      </c>
      <c r="E15" s="381">
        <v>811</v>
      </c>
      <c r="F15" s="510">
        <f t="shared" ref="F15:F23" si="13">D15*E15</f>
        <v>37873.700000000004</v>
      </c>
      <c r="G15" s="1018">
        <v>320</v>
      </c>
      <c r="H15" s="950">
        <f>D15</f>
        <v>46.7</v>
      </c>
      <c r="I15" s="381">
        <f t="shared" ref="I15:I23" si="14">G15*H15</f>
        <v>14944</v>
      </c>
      <c r="J15" s="509">
        <f>I15/F15-1</f>
        <v>-0.60542540073982742</v>
      </c>
      <c r="K15" s="510"/>
      <c r="L15" s="951" t="s">
        <v>360</v>
      </c>
      <c r="M15" s="979" t="s">
        <v>355</v>
      </c>
    </row>
    <row r="16" spans="1:14">
      <c r="A16" s="381">
        <v>2</v>
      </c>
      <c r="B16" s="41" t="s">
        <v>40</v>
      </c>
      <c r="C16" s="381"/>
      <c r="D16" s="694"/>
      <c r="E16" s="381"/>
      <c r="F16" s="510">
        <f t="shared" si="13"/>
        <v>0</v>
      </c>
      <c r="G16" s="1018"/>
      <c r="H16" s="950"/>
      <c r="I16" s="381">
        <f t="shared" si="14"/>
        <v>0</v>
      </c>
      <c r="J16" s="382"/>
      <c r="K16" s="510"/>
      <c r="L16" s="362"/>
      <c r="M16" s="979" t="s">
        <v>355</v>
      </c>
    </row>
    <row r="17" spans="1:13">
      <c r="A17" s="514">
        <v>1</v>
      </c>
      <c r="B17" s="78" t="s">
        <v>26</v>
      </c>
      <c r="C17" s="511">
        <v>6676</v>
      </c>
      <c r="D17" s="695">
        <v>20.2</v>
      </c>
      <c r="E17" s="511">
        <v>5578</v>
      </c>
      <c r="F17" s="513">
        <f t="shared" si="13"/>
        <v>112675.59999999999</v>
      </c>
      <c r="G17" s="531">
        <v>6300</v>
      </c>
      <c r="H17" s="515">
        <f>D17</f>
        <v>20.2</v>
      </c>
      <c r="I17" s="511">
        <f t="shared" si="14"/>
        <v>127260</v>
      </c>
      <c r="J17" s="512">
        <f t="shared" ref="J17:J22" si="15">I17/F17-1</f>
        <v>0.12943707422015072</v>
      </c>
      <c r="K17" s="513">
        <f t="shared" ref="K17:K22" si="16">C17*(1+J17)</f>
        <v>7540.1219074937262</v>
      </c>
      <c r="L17" s="364"/>
      <c r="M17" s="979" t="s">
        <v>355</v>
      </c>
    </row>
    <row r="18" spans="1:13">
      <c r="A18" s="514">
        <v>2</v>
      </c>
      <c r="B18" s="78" t="s">
        <v>26</v>
      </c>
      <c r="C18" s="511">
        <v>6795</v>
      </c>
      <c r="D18" s="695">
        <v>20.32</v>
      </c>
      <c r="E18" s="511">
        <v>5578</v>
      </c>
      <c r="F18" s="513">
        <f t="shared" si="13"/>
        <v>113344.96000000001</v>
      </c>
      <c r="G18" s="531">
        <v>6300</v>
      </c>
      <c r="H18" s="515">
        <v>37</v>
      </c>
      <c r="I18" s="511">
        <f t="shared" si="14"/>
        <v>233100</v>
      </c>
      <c r="J18" s="512">
        <f t="shared" si="15"/>
        <v>1.0565537276646442</v>
      </c>
      <c r="K18" s="513">
        <f t="shared" si="16"/>
        <v>13974.282579481258</v>
      </c>
      <c r="L18" s="364"/>
      <c r="M18" s="979" t="s">
        <v>355</v>
      </c>
    </row>
    <row r="19" spans="1:13" s="952" customFormat="1" ht="137.85" customHeight="1">
      <c r="A19" s="515">
        <v>1</v>
      </c>
      <c r="B19" s="232" t="s">
        <v>57</v>
      </c>
      <c r="C19" s="515">
        <v>2908</v>
      </c>
      <c r="D19" s="696">
        <v>27.6</v>
      </c>
      <c r="E19" s="515">
        <v>517</v>
      </c>
      <c r="F19" s="517">
        <f t="shared" si="13"/>
        <v>14269.2</v>
      </c>
      <c r="G19" s="531">
        <v>540</v>
      </c>
      <c r="H19" s="515">
        <f>D19</f>
        <v>27.6</v>
      </c>
      <c r="I19" s="515">
        <f t="shared" si="14"/>
        <v>14904</v>
      </c>
      <c r="J19" s="516">
        <f t="shared" si="15"/>
        <v>4.4487427466150864E-2</v>
      </c>
      <c r="K19" s="517">
        <f t="shared" si="16"/>
        <v>3037.3694390715668</v>
      </c>
      <c r="L19" s="373" t="s">
        <v>361</v>
      </c>
      <c r="M19" s="980" t="s">
        <v>362</v>
      </c>
    </row>
    <row r="20" spans="1:13" s="952" customFormat="1" ht="87">
      <c r="A20" s="515">
        <v>2</v>
      </c>
      <c r="B20" s="232" t="s">
        <v>57</v>
      </c>
      <c r="C20" s="515">
        <v>2908</v>
      </c>
      <c r="D20" s="696">
        <v>27.6</v>
      </c>
      <c r="E20" s="515">
        <v>517</v>
      </c>
      <c r="F20" s="517">
        <f t="shared" si="13"/>
        <v>14269.2</v>
      </c>
      <c r="G20" s="531">
        <v>540</v>
      </c>
      <c r="H20" s="515">
        <v>35</v>
      </c>
      <c r="I20" s="515">
        <f t="shared" si="14"/>
        <v>18900</v>
      </c>
      <c r="J20" s="516">
        <f t="shared" si="15"/>
        <v>0.32453115801866961</v>
      </c>
      <c r="K20" s="517">
        <f t="shared" si="16"/>
        <v>3851.7366075182913</v>
      </c>
      <c r="L20" s="798" t="s">
        <v>245</v>
      </c>
      <c r="M20" s="980" t="s">
        <v>362</v>
      </c>
    </row>
    <row r="21" spans="1:13" s="392" customFormat="1">
      <c r="A21" s="531">
        <v>1</v>
      </c>
      <c r="B21" s="46" t="s">
        <v>23</v>
      </c>
      <c r="C21" s="531">
        <v>4577</v>
      </c>
      <c r="D21" s="697">
        <v>30</v>
      </c>
      <c r="E21" s="531">
        <v>4184</v>
      </c>
      <c r="F21" s="533">
        <f t="shared" si="13"/>
        <v>125520</v>
      </c>
      <c r="G21" s="531">
        <v>4500</v>
      </c>
      <c r="H21" s="515">
        <v>32</v>
      </c>
      <c r="I21" s="531">
        <f t="shared" si="14"/>
        <v>144000</v>
      </c>
      <c r="J21" s="532">
        <f t="shared" si="15"/>
        <v>0.14722753346080308</v>
      </c>
      <c r="K21" s="533">
        <f t="shared" si="16"/>
        <v>5250.8604206500959</v>
      </c>
      <c r="L21" s="369" t="s">
        <v>363</v>
      </c>
      <c r="M21" s="973" t="s">
        <v>355</v>
      </c>
    </row>
    <row r="22" spans="1:13" s="392" customFormat="1">
      <c r="A22" s="531">
        <v>2</v>
      </c>
      <c r="B22" s="46" t="s">
        <v>23</v>
      </c>
      <c r="C22" s="531">
        <v>4577</v>
      </c>
      <c r="D22" s="697">
        <v>30</v>
      </c>
      <c r="E22" s="531">
        <v>4184</v>
      </c>
      <c r="F22" s="533">
        <f t="shared" si="13"/>
        <v>125520</v>
      </c>
      <c r="G22" s="531">
        <v>4750</v>
      </c>
      <c r="H22" s="515">
        <v>69</v>
      </c>
      <c r="I22" s="531">
        <f t="shared" si="14"/>
        <v>327750</v>
      </c>
      <c r="J22" s="532">
        <f t="shared" si="15"/>
        <v>1.6111376673040154</v>
      </c>
      <c r="K22" s="533">
        <f t="shared" si="16"/>
        <v>11951.177103250478</v>
      </c>
      <c r="L22" s="369"/>
      <c r="M22" s="973" t="s">
        <v>355</v>
      </c>
    </row>
    <row r="23" spans="1:13">
      <c r="A23" s="80">
        <v>1</v>
      </c>
      <c r="B23" s="79" t="s">
        <v>43</v>
      </c>
      <c r="C23" s="80"/>
      <c r="D23" s="698"/>
      <c r="E23" s="80"/>
      <c r="F23" s="82">
        <f t="shared" si="13"/>
        <v>0</v>
      </c>
      <c r="G23" s="1018"/>
      <c r="H23" s="950"/>
      <c r="I23" s="80">
        <f t="shared" si="14"/>
        <v>0</v>
      </c>
      <c r="J23" s="518"/>
      <c r="K23" s="82"/>
      <c r="L23" s="364"/>
      <c r="M23" s="979" t="s">
        <v>348</v>
      </c>
    </row>
    <row r="24" spans="1:13">
      <c r="A24" s="80">
        <v>2</v>
      </c>
      <c r="B24" s="79" t="s">
        <v>43</v>
      </c>
      <c r="C24" s="80"/>
      <c r="D24" s="698"/>
      <c r="E24" s="80"/>
      <c r="F24" s="82"/>
      <c r="G24" s="1018"/>
      <c r="H24" s="950"/>
      <c r="I24" s="80"/>
      <c r="J24" s="518"/>
      <c r="K24" s="82"/>
      <c r="L24" s="364"/>
      <c r="M24" s="979" t="s">
        <v>348</v>
      </c>
    </row>
    <row r="25" spans="1:13">
      <c r="A25" s="175">
        <v>1</v>
      </c>
      <c r="B25" s="176" t="s">
        <v>364</v>
      </c>
      <c r="C25" s="180">
        <v>398</v>
      </c>
      <c r="D25" s="605">
        <v>38.950000000000003</v>
      </c>
      <c r="E25" s="180">
        <v>644</v>
      </c>
      <c r="F25" s="182">
        <f t="shared" ref="F25:F52" si="17">D25*E25</f>
        <v>25083.800000000003</v>
      </c>
      <c r="G25" s="456">
        <v>753</v>
      </c>
      <c r="H25" s="235">
        <f>D25</f>
        <v>38.950000000000003</v>
      </c>
      <c r="I25" s="180">
        <f t="shared" ref="I25:I32" si="18">G25*H25</f>
        <v>29329.350000000002</v>
      </c>
      <c r="J25" s="181">
        <f t="shared" ref="J25:J32" si="19">I25/F25-1</f>
        <v>0.16925465838509313</v>
      </c>
      <c r="K25" s="182">
        <f t="shared" ref="K25:K32" si="20">C25*(1+J25)</f>
        <v>465.36335403726707</v>
      </c>
      <c r="L25" s="365"/>
    </row>
    <row r="26" spans="1:13">
      <c r="A26" s="175">
        <v>2</v>
      </c>
      <c r="B26" s="176" t="s">
        <v>364</v>
      </c>
      <c r="C26" s="180">
        <v>398</v>
      </c>
      <c r="D26" s="605">
        <v>38.950000000000003</v>
      </c>
      <c r="E26" s="180">
        <v>644</v>
      </c>
      <c r="F26" s="182">
        <f t="shared" si="17"/>
        <v>25083.800000000003</v>
      </c>
      <c r="G26" s="456">
        <v>753</v>
      </c>
      <c r="H26" s="235">
        <v>38.6</v>
      </c>
      <c r="I26" s="180">
        <f t="shared" si="18"/>
        <v>29065.8</v>
      </c>
      <c r="J26" s="181">
        <f t="shared" si="19"/>
        <v>0.15874787711590721</v>
      </c>
      <c r="K26" s="182">
        <f t="shared" si="20"/>
        <v>461.18165509213105</v>
      </c>
      <c r="L26" s="365"/>
    </row>
    <row r="27" spans="1:13" s="954" customFormat="1" ht="26.1">
      <c r="A27" s="623">
        <v>1</v>
      </c>
      <c r="B27" s="624" t="s">
        <v>365</v>
      </c>
      <c r="C27" s="623">
        <v>727</v>
      </c>
      <c r="D27" s="699">
        <v>23.5</v>
      </c>
      <c r="E27" s="623">
        <v>904</v>
      </c>
      <c r="F27" s="625">
        <f t="shared" si="17"/>
        <v>21244</v>
      </c>
      <c r="G27" s="1019">
        <v>1100</v>
      </c>
      <c r="H27" s="953">
        <v>29</v>
      </c>
      <c r="I27" s="623">
        <f t="shared" si="18"/>
        <v>31900</v>
      </c>
      <c r="J27" s="626">
        <f t="shared" si="19"/>
        <v>0.50160045189229896</v>
      </c>
      <c r="K27" s="625">
        <f t="shared" si="20"/>
        <v>1091.6635285257014</v>
      </c>
      <c r="L27" s="627" t="s">
        <v>366</v>
      </c>
      <c r="M27" s="981" t="s">
        <v>355</v>
      </c>
    </row>
    <row r="28" spans="1:13" s="954" customFormat="1" ht="39">
      <c r="A28" s="623">
        <v>2</v>
      </c>
      <c r="B28" s="624" t="s">
        <v>49</v>
      </c>
      <c r="C28" s="623">
        <v>760</v>
      </c>
      <c r="D28" s="699">
        <v>26.63</v>
      </c>
      <c r="E28" s="623">
        <v>836</v>
      </c>
      <c r="F28" s="625">
        <f t="shared" si="17"/>
        <v>22262.68</v>
      </c>
      <c r="G28" s="1019">
        <v>1100</v>
      </c>
      <c r="H28" s="953">
        <v>23.8</v>
      </c>
      <c r="I28" s="623">
        <f t="shared" si="18"/>
        <v>26180</v>
      </c>
      <c r="J28" s="626">
        <f t="shared" si="19"/>
        <v>0.17595904895547165</v>
      </c>
      <c r="K28" s="625">
        <f t="shared" si="20"/>
        <v>893.72887720615847</v>
      </c>
      <c r="L28" s="627" t="s">
        <v>52</v>
      </c>
      <c r="M28" s="981" t="s">
        <v>355</v>
      </c>
    </row>
    <row r="29" spans="1:13" s="613" customFormat="1">
      <c r="A29" s="531"/>
      <c r="B29" s="46" t="s">
        <v>367</v>
      </c>
      <c r="C29" s="531"/>
      <c r="D29" s="697"/>
      <c r="E29" s="531"/>
      <c r="F29" s="533"/>
      <c r="G29" s="531"/>
      <c r="H29" s="515"/>
      <c r="I29" s="531"/>
      <c r="J29" s="532"/>
      <c r="K29" s="533"/>
      <c r="L29" s="361"/>
      <c r="M29" s="972"/>
    </row>
    <row r="30" spans="1:13" s="613" customFormat="1">
      <c r="A30" s="531"/>
      <c r="B30" s="46" t="s">
        <v>367</v>
      </c>
      <c r="C30" s="531"/>
      <c r="D30" s="697"/>
      <c r="E30" s="531"/>
      <c r="F30" s="533"/>
      <c r="G30" s="531"/>
      <c r="H30" s="515"/>
      <c r="I30" s="531"/>
      <c r="J30" s="532"/>
      <c r="K30" s="533"/>
      <c r="L30" s="361"/>
      <c r="M30" s="972"/>
    </row>
    <row r="31" spans="1:13">
      <c r="A31" s="80">
        <v>1</v>
      </c>
      <c r="B31" s="77" t="s">
        <v>19</v>
      </c>
      <c r="C31" s="80">
        <v>1570</v>
      </c>
      <c r="D31" s="698">
        <v>25.9</v>
      </c>
      <c r="E31" s="80">
        <v>16438</v>
      </c>
      <c r="F31" s="82">
        <f t="shared" si="17"/>
        <v>425744.19999999995</v>
      </c>
      <c r="G31" s="1018">
        <v>16772</v>
      </c>
      <c r="H31" s="950">
        <f>D31</f>
        <v>25.9</v>
      </c>
      <c r="I31" s="80">
        <f t="shared" si="18"/>
        <v>434394.8</v>
      </c>
      <c r="J31" s="81">
        <f t="shared" si="19"/>
        <v>2.0318773573427595E-2</v>
      </c>
      <c r="K31" s="82">
        <f t="shared" si="20"/>
        <v>1601.9004745102814</v>
      </c>
      <c r="L31" s="364"/>
      <c r="M31" s="979" t="s">
        <v>355</v>
      </c>
    </row>
    <row r="32" spans="1:13">
      <c r="A32" s="80">
        <v>2</v>
      </c>
      <c r="B32" s="77" t="s">
        <v>19</v>
      </c>
      <c r="C32" s="80">
        <v>1570</v>
      </c>
      <c r="D32" s="698">
        <v>25.9</v>
      </c>
      <c r="E32" s="80">
        <v>16438</v>
      </c>
      <c r="F32" s="82">
        <f t="shared" si="17"/>
        <v>425744.19999999995</v>
      </c>
      <c r="G32" s="1018">
        <v>16772</v>
      </c>
      <c r="H32" s="950">
        <v>32.6</v>
      </c>
      <c r="I32" s="80">
        <f t="shared" si="18"/>
        <v>546767.20000000007</v>
      </c>
      <c r="J32" s="81">
        <f t="shared" si="19"/>
        <v>0.28426224009628354</v>
      </c>
      <c r="K32" s="82">
        <f t="shared" si="20"/>
        <v>2016.2917169511652</v>
      </c>
      <c r="L32" s="364"/>
      <c r="M32" s="979" t="s">
        <v>355</v>
      </c>
    </row>
    <row r="33" spans="1:13">
      <c r="A33" s="381">
        <v>1</v>
      </c>
      <c r="B33" s="41" t="s">
        <v>20</v>
      </c>
      <c r="C33" s="381">
        <v>638</v>
      </c>
      <c r="D33" s="694">
        <v>83.9</v>
      </c>
      <c r="E33" s="381">
        <v>1636</v>
      </c>
      <c r="F33" s="510">
        <f t="shared" si="17"/>
        <v>137260.40000000002</v>
      </c>
      <c r="G33" s="1020" t="s">
        <v>21</v>
      </c>
      <c r="H33" s="950">
        <f>D33</f>
        <v>83.9</v>
      </c>
      <c r="I33" s="381"/>
      <c r="J33" s="509"/>
      <c r="K33" s="510"/>
      <c r="L33" s="362"/>
      <c r="M33" s="979" t="s">
        <v>355</v>
      </c>
    </row>
    <row r="34" spans="1:13" s="613" customFormat="1" ht="219.75" customHeight="1">
      <c r="A34" s="460">
        <v>1</v>
      </c>
      <c r="B34" s="34" t="s">
        <v>249</v>
      </c>
      <c r="C34" s="460">
        <v>571</v>
      </c>
      <c r="D34" s="556">
        <v>67.599999999999994</v>
      </c>
      <c r="E34" s="460">
        <v>96.9</v>
      </c>
      <c r="F34" s="461">
        <f t="shared" si="17"/>
        <v>6550.44</v>
      </c>
      <c r="G34" s="460">
        <v>150</v>
      </c>
      <c r="H34" s="233">
        <v>120</v>
      </c>
      <c r="I34" s="460">
        <f t="shared" ref="I34:I35" si="21">G34*H34</f>
        <v>18000</v>
      </c>
      <c r="J34" s="231">
        <f t="shared" ref="J34:J35" si="22">I34/F34-1</f>
        <v>1.7479070108267538</v>
      </c>
      <c r="K34" s="461">
        <f t="shared" ref="K34:K35" si="23">C34*(1+J34)</f>
        <v>1569.0549031820765</v>
      </c>
      <c r="L34" s="494" t="s">
        <v>368</v>
      </c>
      <c r="M34" s="973" t="s">
        <v>369</v>
      </c>
    </row>
    <row r="35" spans="1:13" s="613" customFormat="1" ht="125.1" customHeight="1">
      <c r="A35" s="460">
        <v>2</v>
      </c>
      <c r="B35" s="34" t="s">
        <v>249</v>
      </c>
      <c r="C35" s="460">
        <v>571</v>
      </c>
      <c r="D35" s="556">
        <v>67.599999999999994</v>
      </c>
      <c r="E35" s="460">
        <v>96.9</v>
      </c>
      <c r="F35" s="461">
        <f t="shared" si="17"/>
        <v>6550.44</v>
      </c>
      <c r="G35" s="460">
        <v>188</v>
      </c>
      <c r="H35" s="233">
        <v>75</v>
      </c>
      <c r="I35" s="460">
        <f t="shared" si="21"/>
        <v>14100</v>
      </c>
      <c r="J35" s="231">
        <f t="shared" si="22"/>
        <v>1.1525271584809573</v>
      </c>
      <c r="K35" s="461">
        <f t="shared" si="23"/>
        <v>1229.0930074926266</v>
      </c>
      <c r="L35" s="494" t="s">
        <v>370</v>
      </c>
      <c r="M35" s="973" t="s">
        <v>253</v>
      </c>
    </row>
    <row r="36" spans="1:13">
      <c r="A36" s="511">
        <v>1</v>
      </c>
      <c r="B36" s="78" t="s">
        <v>24</v>
      </c>
      <c r="C36" s="511">
        <v>1230</v>
      </c>
      <c r="D36" s="695">
        <v>19.600000000000001</v>
      </c>
      <c r="E36" s="511">
        <v>44256</v>
      </c>
      <c r="F36" s="513">
        <f t="shared" si="17"/>
        <v>867417.60000000009</v>
      </c>
      <c r="G36" s="531">
        <v>45860</v>
      </c>
      <c r="H36" s="515">
        <f>D36</f>
        <v>19.600000000000001</v>
      </c>
      <c r="I36" s="511">
        <f t="shared" ref="I36:I52" si="24">G36*H36</f>
        <v>898856.00000000012</v>
      </c>
      <c r="J36" s="512">
        <f t="shared" ref="J36:J52" si="25">I36/F36-1</f>
        <v>3.6243673174258806E-2</v>
      </c>
      <c r="K36" s="513">
        <f t="shared" ref="K36:K52" si="26">C36*(1+J36)</f>
        <v>1274.5797180043382</v>
      </c>
      <c r="L36" s="363"/>
      <c r="M36" s="979" t="s">
        <v>355</v>
      </c>
    </row>
    <row r="37" spans="1:13">
      <c r="A37" s="511">
        <v>2</v>
      </c>
      <c r="B37" s="78" t="s">
        <v>24</v>
      </c>
      <c r="C37" s="511">
        <v>1230</v>
      </c>
      <c r="D37" s="695">
        <v>19.600000000000001</v>
      </c>
      <c r="E37" s="511">
        <v>44256</v>
      </c>
      <c r="F37" s="513">
        <f t="shared" si="17"/>
        <v>867417.60000000009</v>
      </c>
      <c r="G37" s="531">
        <v>45860</v>
      </c>
      <c r="H37" s="515">
        <v>12.6</v>
      </c>
      <c r="I37" s="511">
        <f t="shared" si="24"/>
        <v>577836</v>
      </c>
      <c r="J37" s="512">
        <f t="shared" si="25"/>
        <v>-0.33384335295940504</v>
      </c>
      <c r="K37" s="513">
        <f t="shared" si="26"/>
        <v>819.37267585993186</v>
      </c>
      <c r="L37" s="363"/>
      <c r="M37" s="979" t="s">
        <v>355</v>
      </c>
    </row>
    <row r="38" spans="1:13" s="613" customFormat="1">
      <c r="A38" s="531">
        <v>1</v>
      </c>
      <c r="B38" s="46" t="s">
        <v>32</v>
      </c>
      <c r="C38" s="531">
        <v>74.099999999999994</v>
      </c>
      <c r="D38" s="697">
        <v>19.399999999999999</v>
      </c>
      <c r="E38" s="531">
        <v>2853</v>
      </c>
      <c r="F38" s="533">
        <f t="shared" si="17"/>
        <v>55348.2</v>
      </c>
      <c r="G38" s="531">
        <v>3900</v>
      </c>
      <c r="H38" s="515">
        <f>D38</f>
        <v>19.399999999999999</v>
      </c>
      <c r="I38" s="531">
        <f t="shared" si="24"/>
        <v>75660</v>
      </c>
      <c r="J38" s="532">
        <f t="shared" si="25"/>
        <v>0.36698212407991604</v>
      </c>
      <c r="K38" s="533">
        <f t="shared" si="26"/>
        <v>101.29337539432177</v>
      </c>
      <c r="L38" s="369"/>
      <c r="M38" s="972" t="s">
        <v>355</v>
      </c>
    </row>
    <row r="39" spans="1:13" s="613" customFormat="1" ht="56.85" customHeight="1">
      <c r="A39" s="531">
        <v>2</v>
      </c>
      <c r="B39" s="46" t="s">
        <v>32</v>
      </c>
      <c r="C39" s="531">
        <v>74.099999999999994</v>
      </c>
      <c r="D39" s="697">
        <v>19.399999999999999</v>
      </c>
      <c r="E39" s="531">
        <v>2942</v>
      </c>
      <c r="F39" s="533">
        <f t="shared" si="17"/>
        <v>57074.799999999996</v>
      </c>
      <c r="G39" s="531">
        <v>3900</v>
      </c>
      <c r="H39" s="515">
        <v>15</v>
      </c>
      <c r="I39" s="531">
        <f t="shared" si="24"/>
        <v>58500</v>
      </c>
      <c r="J39" s="532">
        <f t="shared" si="25"/>
        <v>2.4970740151520454E-2</v>
      </c>
      <c r="K39" s="533">
        <f t="shared" si="26"/>
        <v>75.950331845227666</v>
      </c>
      <c r="L39" s="369" t="s">
        <v>371</v>
      </c>
      <c r="M39" s="972" t="s">
        <v>355</v>
      </c>
    </row>
    <row r="40" spans="1:13" ht="309" customHeight="1">
      <c r="A40" s="521">
        <v>1</v>
      </c>
      <c r="B40" s="376" t="s">
        <v>264</v>
      </c>
      <c r="C40" s="521">
        <v>5025</v>
      </c>
      <c r="D40" s="701">
        <v>154</v>
      </c>
      <c r="E40" s="521">
        <v>210</v>
      </c>
      <c r="F40" s="523">
        <f t="shared" ref="F40" si="27">D40*E40</f>
        <v>32340</v>
      </c>
      <c r="G40" s="531">
        <v>300</v>
      </c>
      <c r="H40" s="515">
        <v>120</v>
      </c>
      <c r="I40" s="521">
        <f t="shared" ref="I40" si="28">G40*H40</f>
        <v>36000</v>
      </c>
      <c r="J40" s="522">
        <f t="shared" ref="J40" si="29">I40/F40-1</f>
        <v>0.1131725417439704</v>
      </c>
      <c r="K40" s="523">
        <f t="shared" ref="K40" si="30">C40*(1+J40)</f>
        <v>5593.6920222634517</v>
      </c>
      <c r="L40" s="377" t="s">
        <v>372</v>
      </c>
    </row>
    <row r="41" spans="1:13" ht="174.75" customHeight="1">
      <c r="A41" s="521">
        <v>2</v>
      </c>
      <c r="B41" s="376" t="s">
        <v>264</v>
      </c>
      <c r="C41" s="521">
        <v>5025</v>
      </c>
      <c r="D41" s="701">
        <v>154</v>
      </c>
      <c r="E41" s="521">
        <v>210</v>
      </c>
      <c r="F41" s="523">
        <f t="shared" ref="F41" si="31">D41*E41</f>
        <v>32340</v>
      </c>
      <c r="G41" s="531">
        <v>300</v>
      </c>
      <c r="H41" s="515">
        <v>140</v>
      </c>
      <c r="I41" s="521">
        <f t="shared" ref="I41" si="32">G41*H41</f>
        <v>42000</v>
      </c>
      <c r="J41" s="554">
        <f t="shared" ref="J41" si="33">I41/F41-1</f>
        <v>0.29870129870129869</v>
      </c>
      <c r="K41" s="523">
        <f t="shared" ref="K41" si="34">C41*(1+J41)</f>
        <v>6525.9740259740256</v>
      </c>
      <c r="L41" s="377" t="s">
        <v>266</v>
      </c>
    </row>
    <row r="42" spans="1:13">
      <c r="A42" s="381">
        <v>1</v>
      </c>
      <c r="B42" s="41" t="s">
        <v>25</v>
      </c>
      <c r="C42" s="381">
        <v>3652</v>
      </c>
      <c r="D42" s="694">
        <v>38.9</v>
      </c>
      <c r="E42" s="381">
        <v>13059</v>
      </c>
      <c r="F42" s="510">
        <f t="shared" si="17"/>
        <v>507995.1</v>
      </c>
      <c r="G42" s="1018">
        <v>15900</v>
      </c>
      <c r="H42" s="950">
        <f>D42</f>
        <v>38.9</v>
      </c>
      <c r="I42" s="381">
        <f t="shared" si="24"/>
        <v>618510</v>
      </c>
      <c r="J42" s="509">
        <f t="shared" si="25"/>
        <v>0.21755111417413286</v>
      </c>
      <c r="K42" s="510">
        <f t="shared" si="26"/>
        <v>4446.4966689639332</v>
      </c>
      <c r="L42" s="362"/>
      <c r="M42" s="979" t="s">
        <v>355</v>
      </c>
    </row>
    <row r="43" spans="1:13">
      <c r="A43" s="381">
        <v>2</v>
      </c>
      <c r="B43" s="41" t="s">
        <v>25</v>
      </c>
      <c r="C43" s="381">
        <v>3652</v>
      </c>
      <c r="D43" s="694">
        <v>38.9</v>
      </c>
      <c r="E43" s="381">
        <v>13059</v>
      </c>
      <c r="F43" s="510">
        <f t="shared" si="17"/>
        <v>507995.1</v>
      </c>
      <c r="G43" s="1018">
        <v>15900</v>
      </c>
      <c r="H43" s="950">
        <v>42.2</v>
      </c>
      <c r="I43" s="381">
        <f t="shared" si="24"/>
        <v>670980</v>
      </c>
      <c r="J43" s="509">
        <f t="shared" si="25"/>
        <v>0.32083951203466343</v>
      </c>
      <c r="K43" s="510">
        <f t="shared" si="26"/>
        <v>4823.705897950591</v>
      </c>
      <c r="L43" s="362"/>
      <c r="M43" s="979" t="s">
        <v>355</v>
      </c>
    </row>
    <row r="44" spans="1:13" ht="26.1">
      <c r="A44" s="80">
        <v>1</v>
      </c>
      <c r="B44" s="77" t="s">
        <v>34</v>
      </c>
      <c r="C44" s="80">
        <v>171</v>
      </c>
      <c r="D44" s="698">
        <v>17.3</v>
      </c>
      <c r="E44" s="80">
        <v>2472</v>
      </c>
      <c r="F44" s="82">
        <f t="shared" si="17"/>
        <v>42765.599999999999</v>
      </c>
      <c r="G44" s="1018">
        <v>2500</v>
      </c>
      <c r="H44" s="950">
        <v>19</v>
      </c>
      <c r="I44" s="80">
        <f t="shared" si="24"/>
        <v>47500</v>
      </c>
      <c r="J44" s="81">
        <f t="shared" si="25"/>
        <v>0.11070580092410731</v>
      </c>
      <c r="K44" s="82">
        <f t="shared" si="26"/>
        <v>189.93069195802235</v>
      </c>
      <c r="L44" s="370" t="s">
        <v>373</v>
      </c>
      <c r="M44" s="979" t="s">
        <v>355</v>
      </c>
    </row>
    <row r="45" spans="1:13" s="1" customFormat="1">
      <c r="A45" s="80">
        <v>2</v>
      </c>
      <c r="B45" s="77" t="s">
        <v>34</v>
      </c>
      <c r="C45" s="80">
        <v>171</v>
      </c>
      <c r="D45" s="698">
        <v>17.3</v>
      </c>
      <c r="E45" s="80">
        <v>2472</v>
      </c>
      <c r="F45" s="82">
        <f t="shared" si="17"/>
        <v>42765.599999999999</v>
      </c>
      <c r="G45" s="1018">
        <v>2447</v>
      </c>
      <c r="H45" s="950">
        <v>20</v>
      </c>
      <c r="I45" s="80">
        <f t="shared" si="24"/>
        <v>48940</v>
      </c>
      <c r="J45" s="81">
        <f t="shared" si="25"/>
        <v>0.14437772415212224</v>
      </c>
      <c r="K45" s="82">
        <f t="shared" si="26"/>
        <v>195.68859083001291</v>
      </c>
      <c r="L45" s="562" t="s">
        <v>374</v>
      </c>
      <c r="M45" s="982" t="s">
        <v>355</v>
      </c>
    </row>
    <row r="46" spans="1:13" s="18" customFormat="1" ht="97.35" customHeight="1">
      <c r="A46" s="531"/>
      <c r="B46" s="583" t="s">
        <v>375</v>
      </c>
      <c r="C46" s="531">
        <v>2141</v>
      </c>
      <c r="D46" s="697">
        <v>84.7</v>
      </c>
      <c r="E46" s="531">
        <v>138</v>
      </c>
      <c r="F46" s="533">
        <f t="shared" ref="F46" si="35">D46*E46</f>
        <v>11688.6</v>
      </c>
      <c r="G46" s="531">
        <v>191</v>
      </c>
      <c r="H46" s="515">
        <v>80</v>
      </c>
      <c r="I46" s="531">
        <f t="shared" ref="I46" si="36">G46*H46</f>
        <v>15280</v>
      </c>
      <c r="J46" s="532">
        <f t="shared" ref="J46" si="37">I46/F46-1</f>
        <v>0.30725664322502255</v>
      </c>
      <c r="K46" s="533">
        <f t="shared" ref="K46" si="38">C46*(1+J46)</f>
        <v>2798.8364731447732</v>
      </c>
      <c r="L46" s="47" t="s">
        <v>376</v>
      </c>
      <c r="M46" s="983"/>
    </row>
    <row r="47" spans="1:13" s="18" customFormat="1" ht="102.75" customHeight="1">
      <c r="A47" s="531"/>
      <c r="B47" s="18" t="s">
        <v>377</v>
      </c>
      <c r="C47" s="531">
        <v>2141</v>
      </c>
      <c r="D47" s="697">
        <v>84.7</v>
      </c>
      <c r="E47" s="531">
        <v>138</v>
      </c>
      <c r="F47" s="533">
        <f t="shared" ref="F47" si="39">D47*E47</f>
        <v>11688.6</v>
      </c>
      <c r="G47" s="531">
        <v>191</v>
      </c>
      <c r="H47" s="515">
        <v>70</v>
      </c>
      <c r="I47" s="531">
        <f t="shared" ref="I47" si="40">G47*H47</f>
        <v>13370</v>
      </c>
      <c r="J47" s="532">
        <f t="shared" ref="J47" si="41">I47/F47-1</f>
        <v>0.14384956282189476</v>
      </c>
      <c r="K47" s="533">
        <f t="shared" ref="K47" si="42">C47*(1+J47)</f>
        <v>2448.9819140016766</v>
      </c>
      <c r="L47" s="47" t="s">
        <v>378</v>
      </c>
      <c r="M47" s="983"/>
    </row>
    <row r="48" spans="1:13" s="1" customFormat="1">
      <c r="A48" s="381">
        <v>1</v>
      </c>
      <c r="B48" s="41" t="s">
        <v>33</v>
      </c>
      <c r="C48" s="381">
        <v>2731</v>
      </c>
      <c r="D48" s="694">
        <v>30</v>
      </c>
      <c r="E48" s="381">
        <v>11269</v>
      </c>
      <c r="F48" s="510">
        <f t="shared" si="17"/>
        <v>338070</v>
      </c>
      <c r="G48" s="1018">
        <v>13907</v>
      </c>
      <c r="H48" s="950">
        <f>D48</f>
        <v>30</v>
      </c>
      <c r="I48" s="381">
        <f t="shared" si="24"/>
        <v>417210</v>
      </c>
      <c r="J48" s="509">
        <f t="shared" si="25"/>
        <v>0.23409353092554785</v>
      </c>
      <c r="K48" s="510">
        <f t="shared" si="26"/>
        <v>3370.3094329576711</v>
      </c>
      <c r="L48" s="38"/>
      <c r="M48" s="982" t="s">
        <v>355</v>
      </c>
    </row>
    <row r="49" spans="1:13">
      <c r="A49" s="381">
        <v>2</v>
      </c>
      <c r="B49" s="41" t="s">
        <v>33</v>
      </c>
      <c r="C49" s="381">
        <v>2731</v>
      </c>
      <c r="D49" s="694">
        <v>30</v>
      </c>
      <c r="E49" s="381">
        <v>11269</v>
      </c>
      <c r="F49" s="510">
        <f t="shared" si="17"/>
        <v>338070</v>
      </c>
      <c r="G49" s="1018">
        <v>13907</v>
      </c>
      <c r="H49" s="950">
        <f>D49</f>
        <v>30</v>
      </c>
      <c r="I49" s="381">
        <f t="shared" si="24"/>
        <v>417210</v>
      </c>
      <c r="J49" s="509">
        <f t="shared" si="25"/>
        <v>0.23409353092554785</v>
      </c>
      <c r="K49" s="510">
        <f t="shared" si="26"/>
        <v>3370.3094329576711</v>
      </c>
      <c r="L49" s="362"/>
      <c r="M49" s="979" t="s">
        <v>355</v>
      </c>
    </row>
    <row r="50" spans="1:13" ht="24.95">
      <c r="A50" s="80">
        <v>1</v>
      </c>
      <c r="B50" s="77" t="s">
        <v>27</v>
      </c>
      <c r="C50" s="80">
        <v>1969</v>
      </c>
      <c r="D50" s="698">
        <v>19</v>
      </c>
      <c r="E50" s="80">
        <v>4468</v>
      </c>
      <c r="F50" s="82">
        <f t="shared" si="17"/>
        <v>84892</v>
      </c>
      <c r="G50" s="1018">
        <v>4545</v>
      </c>
      <c r="H50" s="950">
        <f>D50</f>
        <v>19</v>
      </c>
      <c r="I50" s="80">
        <f t="shared" si="24"/>
        <v>86355</v>
      </c>
      <c r="J50" s="81">
        <f t="shared" si="25"/>
        <v>1.7233661593554217E-2</v>
      </c>
      <c r="K50" s="82">
        <f t="shared" si="26"/>
        <v>2002.9330796777083</v>
      </c>
      <c r="L50" s="364" t="s">
        <v>379</v>
      </c>
      <c r="M50" s="979" t="s">
        <v>355</v>
      </c>
    </row>
    <row r="51" spans="1:13" ht="14.25" customHeight="1">
      <c r="A51" s="80">
        <v>2</v>
      </c>
      <c r="B51" s="77" t="s">
        <v>27</v>
      </c>
      <c r="C51" s="80">
        <v>1969</v>
      </c>
      <c r="D51" s="698">
        <v>19</v>
      </c>
      <c r="E51" s="80">
        <v>4050</v>
      </c>
      <c r="F51" s="82">
        <f t="shared" si="17"/>
        <v>76950</v>
      </c>
      <c r="G51" s="1018">
        <v>4545</v>
      </c>
      <c r="H51" s="950">
        <v>24.6</v>
      </c>
      <c r="I51" s="80">
        <f t="shared" si="24"/>
        <v>111807</v>
      </c>
      <c r="J51" s="81">
        <f t="shared" si="25"/>
        <v>0.45298245614035082</v>
      </c>
      <c r="K51" s="82">
        <f t="shared" si="26"/>
        <v>2860.9224561403507</v>
      </c>
      <c r="L51" s="364"/>
      <c r="M51" s="979" t="s">
        <v>355</v>
      </c>
    </row>
    <row r="52" spans="1:13" ht="51.95">
      <c r="A52" s="514">
        <v>1</v>
      </c>
      <c r="B52" s="36" t="s">
        <v>28</v>
      </c>
      <c r="C52" s="514">
        <v>232</v>
      </c>
      <c r="D52" s="700">
        <v>8.23</v>
      </c>
      <c r="E52" s="514">
        <v>467</v>
      </c>
      <c r="F52" s="520">
        <f t="shared" si="17"/>
        <v>3843.4100000000003</v>
      </c>
      <c r="G52" s="531">
        <v>550</v>
      </c>
      <c r="H52" s="515">
        <v>8</v>
      </c>
      <c r="I52" s="514">
        <f t="shared" si="24"/>
        <v>4400</v>
      </c>
      <c r="J52" s="519">
        <f t="shared" si="25"/>
        <v>0.14481671224251369</v>
      </c>
      <c r="K52" s="520">
        <f t="shared" si="26"/>
        <v>265.59747724026317</v>
      </c>
      <c r="L52" s="955" t="s">
        <v>380</v>
      </c>
      <c r="M52" s="979" t="s">
        <v>348</v>
      </c>
    </row>
    <row r="53" spans="1:13">
      <c r="A53" s="514">
        <v>2</v>
      </c>
      <c r="B53" s="36" t="s">
        <v>28</v>
      </c>
      <c r="C53" s="514">
        <v>227</v>
      </c>
      <c r="D53" s="700">
        <v>8.23</v>
      </c>
      <c r="E53" s="514">
        <v>467</v>
      </c>
      <c r="F53" s="520">
        <f>D53*E53</f>
        <v>3843.4100000000003</v>
      </c>
      <c r="G53" s="531">
        <v>633</v>
      </c>
      <c r="H53" s="515">
        <v>24.6</v>
      </c>
      <c r="I53" s="514">
        <f>G53*H53</f>
        <v>15571.800000000001</v>
      </c>
      <c r="J53" s="519">
        <f>I53/F53-1</f>
        <v>3.0515583817495404</v>
      </c>
      <c r="K53" s="520">
        <f>C53*(1+J53)</f>
        <v>919.70375265714563</v>
      </c>
      <c r="L53" s="366" t="s">
        <v>381</v>
      </c>
    </row>
    <row r="54" spans="1:13">
      <c r="A54" s="515">
        <v>1</v>
      </c>
      <c r="B54" s="232" t="s">
        <v>382</v>
      </c>
      <c r="C54" s="515"/>
      <c r="D54" s="696"/>
      <c r="E54" s="515"/>
      <c r="F54" s="517"/>
      <c r="G54" s="531"/>
      <c r="H54" s="515"/>
      <c r="I54" s="515"/>
      <c r="J54" s="516"/>
      <c r="K54" s="517"/>
      <c r="L54" s="362"/>
    </row>
    <row r="55" spans="1:13" s="51" customFormat="1" ht="72.599999999999994">
      <c r="A55" s="51">
        <v>1</v>
      </c>
      <c r="B55" s="74" t="s">
        <v>273</v>
      </c>
      <c r="C55" s="51">
        <v>197</v>
      </c>
      <c r="D55" s="594">
        <v>21.2</v>
      </c>
      <c r="E55" s="51">
        <v>60.4</v>
      </c>
      <c r="F55" s="73">
        <f t="shared" ref="F55:F56" si="43">D55*E55</f>
        <v>1280.48</v>
      </c>
      <c r="G55" s="460">
        <v>70</v>
      </c>
      <c r="H55" s="233">
        <v>25</v>
      </c>
      <c r="I55" s="51">
        <f t="shared" ref="I55:I56" si="44">G55*H55</f>
        <v>1750</v>
      </c>
      <c r="J55" s="72">
        <f t="shared" ref="J55:J56" si="45">I55/F55-1</f>
        <v>0.36667499687617133</v>
      </c>
      <c r="K55" s="73">
        <f t="shared" ref="K55:K56" si="46">C55*(1+J55)</f>
        <v>269.23497438460578</v>
      </c>
      <c r="L55" s="956" t="s">
        <v>274</v>
      </c>
      <c r="M55" s="984"/>
    </row>
    <row r="56" spans="1:13" s="52" customFormat="1" ht="42">
      <c r="A56" s="51">
        <v>2</v>
      </c>
      <c r="B56" s="74" t="s">
        <v>275</v>
      </c>
      <c r="C56" s="51">
        <v>197</v>
      </c>
      <c r="D56" s="594">
        <v>21.2</v>
      </c>
      <c r="E56" s="52">
        <v>60.4</v>
      </c>
      <c r="F56" s="54">
        <f t="shared" si="43"/>
        <v>1280.48</v>
      </c>
      <c r="G56" s="456">
        <v>70</v>
      </c>
      <c r="H56" s="235">
        <v>30</v>
      </c>
      <c r="I56" s="52">
        <f t="shared" si="44"/>
        <v>2100</v>
      </c>
      <c r="J56" s="53">
        <f t="shared" si="45"/>
        <v>0.64000999625140564</v>
      </c>
      <c r="K56" s="54">
        <f t="shared" si="46"/>
        <v>323.08196926152692</v>
      </c>
      <c r="L56" s="432" t="s">
        <v>332</v>
      </c>
      <c r="M56" s="985"/>
    </row>
    <row r="57" spans="1:13" s="613" customFormat="1" ht="29.1">
      <c r="A57" s="18">
        <v>1</v>
      </c>
      <c r="B57" s="583" t="s">
        <v>383</v>
      </c>
      <c r="C57" s="18">
        <v>1223</v>
      </c>
      <c r="D57" s="395">
        <v>15.8</v>
      </c>
      <c r="E57" s="18">
        <v>1388</v>
      </c>
      <c r="F57" s="533">
        <f>D57*E57</f>
        <v>21930.400000000001</v>
      </c>
      <c r="G57" s="531">
        <v>1730</v>
      </c>
      <c r="H57" s="515">
        <f>D57</f>
        <v>15.8</v>
      </c>
      <c r="I57" s="531">
        <f>G57*H57</f>
        <v>27334</v>
      </c>
      <c r="J57" s="532">
        <f>I57/F57-1</f>
        <v>0.24639769452449567</v>
      </c>
      <c r="K57" s="533">
        <f>C57*(1+J57)</f>
        <v>1524.3443804034582</v>
      </c>
      <c r="L57" s="621" t="s">
        <v>384</v>
      </c>
      <c r="M57" s="972"/>
    </row>
    <row r="58" spans="1:13" s="613" customFormat="1" ht="30.95">
      <c r="A58" s="18">
        <v>2</v>
      </c>
      <c r="B58" s="583" t="s">
        <v>383</v>
      </c>
      <c r="C58" s="18">
        <v>1223</v>
      </c>
      <c r="D58" s="395">
        <v>15.8</v>
      </c>
      <c r="E58" s="18">
        <v>1388</v>
      </c>
      <c r="F58" s="533">
        <f>D58*E58</f>
        <v>21930.400000000001</v>
      </c>
      <c r="G58" s="531">
        <v>1730</v>
      </c>
      <c r="H58" s="515">
        <v>34</v>
      </c>
      <c r="I58" s="531">
        <f>G58*H58</f>
        <v>58820</v>
      </c>
      <c r="J58" s="532">
        <f>I58/F58-1</f>
        <v>1.6821216211286614</v>
      </c>
      <c r="K58" s="533">
        <f>C58*(1+J58)</f>
        <v>3280.234742640353</v>
      </c>
      <c r="L58" s="957" t="s">
        <v>385</v>
      </c>
      <c r="M58" s="972" t="s">
        <v>348</v>
      </c>
    </row>
    <row r="59" spans="1:13">
      <c r="A59" s="524">
        <v>1</v>
      </c>
      <c r="B59" s="185" t="s">
        <v>37</v>
      </c>
      <c r="C59" s="524">
        <v>1821</v>
      </c>
      <c r="D59" s="702">
        <v>30.3</v>
      </c>
      <c r="E59" s="524">
        <v>2189</v>
      </c>
      <c r="F59" s="526">
        <f t="shared" ref="F59:F73" si="47">D59*E59</f>
        <v>66326.7</v>
      </c>
      <c r="G59" s="531">
        <v>2300</v>
      </c>
      <c r="H59" s="515">
        <f>D59</f>
        <v>30.3</v>
      </c>
      <c r="I59" s="524">
        <f t="shared" ref="I59:I73" si="48">G59*H59</f>
        <v>69690</v>
      </c>
      <c r="J59" s="525">
        <f t="shared" ref="J59:J73" si="49">I59/F59-1</f>
        <v>5.0708085883965248E-2</v>
      </c>
      <c r="K59" s="526">
        <f t="shared" ref="K59:K73" si="50">C59*(1+J59)</f>
        <v>1913.3394243947007</v>
      </c>
      <c r="L59" s="367" t="s">
        <v>386</v>
      </c>
      <c r="M59" s="979" t="s">
        <v>355</v>
      </c>
    </row>
    <row r="60" spans="1:13">
      <c r="A60" s="524">
        <v>2</v>
      </c>
      <c r="B60" s="185" t="s">
        <v>37</v>
      </c>
      <c r="C60" s="524">
        <v>1821</v>
      </c>
      <c r="D60" s="702">
        <v>30.3</v>
      </c>
      <c r="E60" s="524">
        <v>2189</v>
      </c>
      <c r="F60" s="526">
        <f t="shared" si="47"/>
        <v>66326.7</v>
      </c>
      <c r="G60" s="531">
        <v>2200</v>
      </c>
      <c r="H60" s="515">
        <v>28.2</v>
      </c>
      <c r="I60" s="524">
        <f t="shared" si="48"/>
        <v>62040</v>
      </c>
      <c r="J60" s="525">
        <f t="shared" si="49"/>
        <v>-6.4630081098562053E-2</v>
      </c>
      <c r="K60" s="526">
        <f t="shared" si="50"/>
        <v>1703.3086223195185</v>
      </c>
      <c r="L60" s="367"/>
      <c r="M60" s="979" t="s">
        <v>355</v>
      </c>
    </row>
    <row r="61" spans="1:13" s="613" customFormat="1">
      <c r="A61" s="531">
        <v>1</v>
      </c>
      <c r="B61" s="46" t="s">
        <v>54</v>
      </c>
      <c r="C61" s="531">
        <v>521</v>
      </c>
      <c r="D61" s="697">
        <v>73.599999999999994</v>
      </c>
      <c r="E61" s="531">
        <v>185</v>
      </c>
      <c r="F61" s="533">
        <f t="shared" si="47"/>
        <v>13615.999999999998</v>
      </c>
      <c r="G61" s="531">
        <v>210</v>
      </c>
      <c r="H61" s="515">
        <v>60</v>
      </c>
      <c r="I61" s="531">
        <f t="shared" si="48"/>
        <v>12600</v>
      </c>
      <c r="J61" s="532">
        <f t="shared" si="49"/>
        <v>-7.4618096357226715E-2</v>
      </c>
      <c r="K61" s="533">
        <f t="shared" si="50"/>
        <v>482.12397179788491</v>
      </c>
      <c r="L61" s="369" t="s">
        <v>387</v>
      </c>
      <c r="M61" s="972" t="s">
        <v>362</v>
      </c>
    </row>
    <row r="62" spans="1:13" s="613" customFormat="1">
      <c r="A62" s="531">
        <v>2</v>
      </c>
      <c r="B62" s="46" t="s">
        <v>54</v>
      </c>
      <c r="C62" s="531">
        <v>521</v>
      </c>
      <c r="D62" s="697">
        <v>73.599999999999994</v>
      </c>
      <c r="E62" s="531">
        <v>185</v>
      </c>
      <c r="F62" s="533">
        <f t="shared" si="47"/>
        <v>13615.999999999998</v>
      </c>
      <c r="G62" s="531">
        <v>210</v>
      </c>
      <c r="H62" s="515">
        <v>71</v>
      </c>
      <c r="I62" s="531">
        <f t="shared" si="48"/>
        <v>14910</v>
      </c>
      <c r="J62" s="532">
        <f t="shared" si="49"/>
        <v>9.5035252643948409E-2</v>
      </c>
      <c r="K62" s="533">
        <f t="shared" si="50"/>
        <v>570.51336662749713</v>
      </c>
      <c r="L62" s="369"/>
      <c r="M62" s="972" t="s">
        <v>362</v>
      </c>
    </row>
    <row r="63" spans="1:13" ht="104.1">
      <c r="A63" s="511">
        <v>1</v>
      </c>
      <c r="B63" s="78" t="s">
        <v>45</v>
      </c>
      <c r="C63" s="511">
        <v>4444</v>
      </c>
      <c r="D63" s="695">
        <v>38.700000000000003</v>
      </c>
      <c r="E63" s="511">
        <v>1747</v>
      </c>
      <c r="F63" s="513">
        <f t="shared" si="47"/>
        <v>67608.900000000009</v>
      </c>
      <c r="G63" s="531">
        <v>2000</v>
      </c>
      <c r="H63" s="515">
        <v>35</v>
      </c>
      <c r="I63" s="511">
        <f t="shared" si="48"/>
        <v>70000</v>
      </c>
      <c r="J63" s="512">
        <f t="shared" si="49"/>
        <v>3.5366645515604977E-2</v>
      </c>
      <c r="K63" s="513">
        <f t="shared" si="50"/>
        <v>4601.1693726713484</v>
      </c>
      <c r="L63" s="363" t="s">
        <v>388</v>
      </c>
      <c r="M63" s="979" t="s">
        <v>355</v>
      </c>
    </row>
    <row r="64" spans="1:13" ht="60" customHeight="1">
      <c r="A64" s="511">
        <v>2</v>
      </c>
      <c r="B64" s="78" t="s">
        <v>45</v>
      </c>
      <c r="C64" s="511">
        <v>4444</v>
      </c>
      <c r="D64" s="695">
        <v>38.700000000000003</v>
      </c>
      <c r="E64" s="511">
        <v>1747</v>
      </c>
      <c r="F64" s="513">
        <f t="shared" ref="F64" si="51">D64*E64</f>
        <v>67608.900000000009</v>
      </c>
      <c r="G64" s="531">
        <v>2000</v>
      </c>
      <c r="H64" s="515">
        <v>37</v>
      </c>
      <c r="I64" s="511">
        <f t="shared" ref="I64" si="52">G64*H64</f>
        <v>74000</v>
      </c>
      <c r="J64" s="512">
        <f t="shared" ref="J64" si="53">I64/F64-1</f>
        <v>9.4530453830782513E-2</v>
      </c>
      <c r="K64" s="513">
        <f t="shared" ref="K64" si="54">C64*(1+J64)</f>
        <v>4864.0933368239976</v>
      </c>
      <c r="L64" s="363" t="s">
        <v>389</v>
      </c>
    </row>
    <row r="65" spans="1:13" s="639" customFormat="1">
      <c r="A65" s="924">
        <v>1</v>
      </c>
      <c r="B65" s="925" t="s">
        <v>31</v>
      </c>
      <c r="C65" s="924">
        <v>6754</v>
      </c>
      <c r="D65" s="926">
        <v>57</v>
      </c>
      <c r="E65" s="924">
        <v>1801</v>
      </c>
      <c r="F65" s="927">
        <f t="shared" si="47"/>
        <v>102657</v>
      </c>
      <c r="G65" s="924">
        <v>2272</v>
      </c>
      <c r="H65" s="958">
        <f>D65</f>
        <v>57</v>
      </c>
      <c r="I65" s="924">
        <f t="shared" si="48"/>
        <v>129504</v>
      </c>
      <c r="J65" s="928">
        <f t="shared" si="49"/>
        <v>0.26152137701277067</v>
      </c>
      <c r="K65" s="927">
        <f t="shared" si="50"/>
        <v>8520.3153803442528</v>
      </c>
      <c r="L65" s="923" t="s">
        <v>390</v>
      </c>
      <c r="M65" s="986" t="s">
        <v>355</v>
      </c>
    </row>
    <row r="66" spans="1:13" s="639" customFormat="1" ht="39">
      <c r="A66" s="924">
        <v>2</v>
      </c>
      <c r="B66" s="925" t="s">
        <v>31</v>
      </c>
      <c r="C66" s="924">
        <v>6754</v>
      </c>
      <c r="D66" s="926">
        <v>57</v>
      </c>
      <c r="E66" s="924">
        <v>1801</v>
      </c>
      <c r="F66" s="927">
        <f t="shared" si="47"/>
        <v>102657</v>
      </c>
      <c r="G66" s="924">
        <v>2272</v>
      </c>
      <c r="H66" s="958">
        <v>43</v>
      </c>
      <c r="I66" s="924">
        <f t="shared" si="48"/>
        <v>97696</v>
      </c>
      <c r="J66" s="928">
        <f t="shared" si="49"/>
        <v>-4.8325978744751974E-2</v>
      </c>
      <c r="K66" s="927">
        <f t="shared" si="50"/>
        <v>6427.6063395579449</v>
      </c>
      <c r="L66" s="923" t="s">
        <v>391</v>
      </c>
      <c r="M66" s="986" t="s">
        <v>355</v>
      </c>
    </row>
    <row r="67" spans="1:13" ht="26.1">
      <c r="A67" s="511">
        <v>1</v>
      </c>
      <c r="B67" s="78" t="s">
        <v>282</v>
      </c>
      <c r="C67" s="511">
        <v>400</v>
      </c>
      <c r="D67" s="695">
        <v>17.79</v>
      </c>
      <c r="E67" s="511">
        <v>1749</v>
      </c>
      <c r="F67" s="513">
        <f t="shared" si="47"/>
        <v>31114.71</v>
      </c>
      <c r="G67" s="531">
        <v>2000</v>
      </c>
      <c r="H67" s="515">
        <f>D67</f>
        <v>17.79</v>
      </c>
      <c r="I67" s="511">
        <f t="shared" si="48"/>
        <v>35580</v>
      </c>
      <c r="J67" s="512">
        <f t="shared" si="49"/>
        <v>0.14351057747284157</v>
      </c>
      <c r="K67" s="513">
        <f t="shared" si="50"/>
        <v>457.40423098913664</v>
      </c>
      <c r="L67" s="559" t="s">
        <v>392</v>
      </c>
      <c r="M67" s="979" t="s">
        <v>355</v>
      </c>
    </row>
    <row r="68" spans="1:13" ht="230.1" customHeight="1">
      <c r="A68" s="511">
        <v>2</v>
      </c>
      <c r="B68" s="78" t="s">
        <v>56</v>
      </c>
      <c r="C68" s="511">
        <v>400</v>
      </c>
      <c r="D68" s="695">
        <v>17.79</v>
      </c>
      <c r="E68" s="511">
        <v>1749</v>
      </c>
      <c r="F68" s="513">
        <f t="shared" si="47"/>
        <v>31114.71</v>
      </c>
      <c r="G68" s="531">
        <v>2000</v>
      </c>
      <c r="H68" s="515">
        <v>23.6</v>
      </c>
      <c r="I68" s="511">
        <f t="shared" si="48"/>
        <v>47200</v>
      </c>
      <c r="J68" s="512">
        <f t="shared" si="49"/>
        <v>0.51696737652383717</v>
      </c>
      <c r="K68" s="513">
        <f t="shared" si="50"/>
        <v>606.78695060953487</v>
      </c>
      <c r="L68" s="363" t="s">
        <v>393</v>
      </c>
      <c r="M68" s="979" t="s">
        <v>355</v>
      </c>
    </row>
    <row r="69" spans="1:13" s="613" customFormat="1" ht="81" customHeight="1">
      <c r="A69" s="531">
        <v>1</v>
      </c>
      <c r="B69" s="46" t="s">
        <v>285</v>
      </c>
      <c r="C69" s="531">
        <v>3058</v>
      </c>
      <c r="D69" s="697">
        <v>37.6</v>
      </c>
      <c r="E69" s="531">
        <v>259</v>
      </c>
      <c r="F69" s="533">
        <f t="shared" ref="F69" si="55">D69*E69</f>
        <v>9738.4</v>
      </c>
      <c r="G69" s="531">
        <v>325</v>
      </c>
      <c r="H69" s="515">
        <v>30</v>
      </c>
      <c r="I69" s="531">
        <f t="shared" ref="I69" si="56">G69*H69</f>
        <v>9750</v>
      </c>
      <c r="J69" s="532">
        <f t="shared" ref="J69" si="57">I69/F69-1</f>
        <v>1.1911607656289736E-3</v>
      </c>
      <c r="K69" s="533">
        <f t="shared" ref="K69" si="58">C69*(1+J69)</f>
        <v>3061.6425696212932</v>
      </c>
      <c r="L69" s="369" t="s">
        <v>394</v>
      </c>
      <c r="M69" s="973" t="s">
        <v>395</v>
      </c>
    </row>
    <row r="70" spans="1:13" s="613" customFormat="1" ht="173.1" customHeight="1">
      <c r="A70" s="531">
        <v>2</v>
      </c>
      <c r="B70" s="46" t="s">
        <v>285</v>
      </c>
      <c r="C70" s="531">
        <v>3058</v>
      </c>
      <c r="D70" s="697">
        <v>37.6</v>
      </c>
      <c r="E70" s="531">
        <v>259</v>
      </c>
      <c r="F70" s="533">
        <f t="shared" ref="F70" si="59">D70*E70</f>
        <v>9738.4</v>
      </c>
      <c r="G70" s="531">
        <v>320</v>
      </c>
      <c r="H70" s="515">
        <v>35</v>
      </c>
      <c r="I70" s="531">
        <f t="shared" ref="I70" si="60">G70*H70</f>
        <v>11200</v>
      </c>
      <c r="J70" s="532">
        <f t="shared" ref="J70" si="61">I70/F70-1</f>
        <v>0.15008625646923535</v>
      </c>
      <c r="K70" s="533">
        <f t="shared" ref="K70" si="62">C70*(1+J70)</f>
        <v>3516.9637722829216</v>
      </c>
      <c r="L70" s="620" t="s">
        <v>396</v>
      </c>
      <c r="M70" s="973"/>
    </row>
    <row r="71" spans="1:13">
      <c r="A71" s="381">
        <v>1</v>
      </c>
      <c r="B71" s="41" t="s">
        <v>30</v>
      </c>
      <c r="C71" s="381">
        <v>344</v>
      </c>
      <c r="D71" s="694">
        <v>20.5</v>
      </c>
      <c r="E71" s="381">
        <v>15573</v>
      </c>
      <c r="F71" s="510">
        <f t="shared" si="47"/>
        <v>319246.5</v>
      </c>
      <c r="G71" s="1018">
        <v>16641</v>
      </c>
      <c r="H71" s="950">
        <f>D71</f>
        <v>20.5</v>
      </c>
      <c r="I71" s="381">
        <f t="shared" si="48"/>
        <v>341140.5</v>
      </c>
      <c r="J71" s="509">
        <f t="shared" si="49"/>
        <v>6.8580235022153824E-2</v>
      </c>
      <c r="K71" s="510">
        <f t="shared" si="50"/>
        <v>367.5916008476209</v>
      </c>
      <c r="L71" s="362"/>
      <c r="M71" s="979" t="s">
        <v>355</v>
      </c>
    </row>
    <row r="72" spans="1:13" s="960" customFormat="1" ht="148.35" customHeight="1">
      <c r="A72" s="548">
        <v>1</v>
      </c>
      <c r="B72" s="549" t="s">
        <v>179</v>
      </c>
      <c r="C72" s="548">
        <v>765</v>
      </c>
      <c r="D72" s="703">
        <v>54.4</v>
      </c>
      <c r="E72" s="548">
        <v>166</v>
      </c>
      <c r="F72" s="551">
        <f t="shared" si="47"/>
        <v>9030.4</v>
      </c>
      <c r="G72" s="1021">
        <v>240</v>
      </c>
      <c r="H72" s="959">
        <v>45</v>
      </c>
      <c r="I72" s="548">
        <f t="shared" si="48"/>
        <v>10800</v>
      </c>
      <c r="J72" s="550">
        <f t="shared" si="49"/>
        <v>0.19596031183557772</v>
      </c>
      <c r="K72" s="551">
        <f t="shared" si="50"/>
        <v>914.90963855421694</v>
      </c>
      <c r="L72" s="552" t="s">
        <v>397</v>
      </c>
      <c r="M72" s="987"/>
    </row>
    <row r="73" spans="1:13" s="960" customFormat="1" ht="57.75" customHeight="1">
      <c r="A73" s="548">
        <v>2</v>
      </c>
      <c r="B73" s="549" t="s">
        <v>179</v>
      </c>
      <c r="C73" s="548">
        <v>765</v>
      </c>
      <c r="D73" s="703">
        <v>54.4</v>
      </c>
      <c r="E73" s="548">
        <v>166</v>
      </c>
      <c r="F73" s="551">
        <f t="shared" si="47"/>
        <v>9030.4</v>
      </c>
      <c r="G73" s="1021">
        <v>200</v>
      </c>
      <c r="H73" s="959">
        <v>40</v>
      </c>
      <c r="I73" s="548">
        <f t="shared" si="48"/>
        <v>8000</v>
      </c>
      <c r="J73" s="550">
        <f t="shared" si="49"/>
        <v>-0.11410347271438692</v>
      </c>
      <c r="K73" s="551">
        <f t="shared" si="50"/>
        <v>677.71084337349396</v>
      </c>
      <c r="L73" s="553" t="s">
        <v>398</v>
      </c>
      <c r="M73" s="987"/>
    </row>
    <row r="74" spans="1:13">
      <c r="A74" s="511">
        <v>1</v>
      </c>
      <c r="B74" s="78" t="s">
        <v>39</v>
      </c>
      <c r="C74" s="511"/>
      <c r="D74" s="695"/>
      <c r="E74" s="511"/>
      <c r="F74" s="513">
        <f t="shared" ref="F74:F86" si="63">D74*E74</f>
        <v>0</v>
      </c>
      <c r="G74" s="531"/>
      <c r="H74" s="515"/>
      <c r="I74" s="511">
        <f t="shared" ref="I74:I86" si="64">G74*H74</f>
        <v>0</v>
      </c>
      <c r="J74" s="527"/>
      <c r="K74" s="513"/>
      <c r="L74" s="363"/>
      <c r="M74" s="979" t="s">
        <v>355</v>
      </c>
    </row>
    <row r="75" spans="1:13">
      <c r="A75" s="511">
        <v>2</v>
      </c>
      <c r="B75" s="78" t="s">
        <v>39</v>
      </c>
      <c r="C75" s="511"/>
      <c r="D75" s="695"/>
      <c r="E75" s="511"/>
      <c r="F75" s="513">
        <f t="shared" si="63"/>
        <v>0</v>
      </c>
      <c r="G75" s="531"/>
      <c r="H75" s="515"/>
      <c r="I75" s="511">
        <f t="shared" si="64"/>
        <v>0</v>
      </c>
      <c r="J75" s="527"/>
      <c r="K75" s="513"/>
      <c r="L75" s="363"/>
      <c r="M75" s="979" t="s">
        <v>355</v>
      </c>
    </row>
    <row r="76" spans="1:13" ht="28.5" customHeight="1">
      <c r="A76" s="381">
        <v>1</v>
      </c>
      <c r="B76" s="155" t="s">
        <v>17</v>
      </c>
      <c r="C76" s="528">
        <v>3194</v>
      </c>
      <c r="D76" s="704">
        <v>31</v>
      </c>
      <c r="E76" s="528">
        <v>69621</v>
      </c>
      <c r="F76" s="530">
        <f t="shared" si="63"/>
        <v>2158251</v>
      </c>
      <c r="G76" s="531">
        <v>74247</v>
      </c>
      <c r="H76" s="515">
        <f>D76</f>
        <v>31</v>
      </c>
      <c r="I76" s="528">
        <f t="shared" si="64"/>
        <v>2301657</v>
      </c>
      <c r="J76" s="529">
        <f>I76/F76-1</f>
        <v>6.6445469039513982E-2</v>
      </c>
      <c r="K76" s="530">
        <f>C76*(1+J76)</f>
        <v>3406.2268281122078</v>
      </c>
      <c r="L76" s="368" t="s">
        <v>399</v>
      </c>
      <c r="M76" s="979" t="s">
        <v>355</v>
      </c>
    </row>
    <row r="77" spans="1:13" s="392" customFormat="1" ht="56.1" customHeight="1">
      <c r="A77" s="531">
        <v>1</v>
      </c>
      <c r="B77" s="46" t="s">
        <v>42</v>
      </c>
      <c r="C77" s="531">
        <v>1099</v>
      </c>
      <c r="D77" s="697">
        <v>40</v>
      </c>
      <c r="E77" s="531">
        <v>214</v>
      </c>
      <c r="F77" s="533">
        <f t="shared" ref="F77" si="65">D77*E77</f>
        <v>8560</v>
      </c>
      <c r="G77" s="531">
        <v>226</v>
      </c>
      <c r="H77" s="515">
        <v>45</v>
      </c>
      <c r="I77" s="531">
        <f t="shared" ref="I77" si="66">G77*H77</f>
        <v>10170</v>
      </c>
      <c r="J77" s="532">
        <f t="shared" ref="J77" si="67">I77/F77-1</f>
        <v>0.18808411214953269</v>
      </c>
      <c r="K77" s="533">
        <f t="shared" ref="K77" si="68">C77*(1+J77)</f>
        <v>1305.7044392523364</v>
      </c>
      <c r="L77" s="369" t="s">
        <v>400</v>
      </c>
      <c r="M77" s="973" t="s">
        <v>348</v>
      </c>
    </row>
    <row r="78" spans="1:13" s="392" customFormat="1" ht="50.85" customHeight="1">
      <c r="A78" s="531">
        <v>2</v>
      </c>
      <c r="B78" s="46" t="s">
        <v>42</v>
      </c>
      <c r="C78" s="531">
        <v>1099</v>
      </c>
      <c r="D78" s="697">
        <v>40</v>
      </c>
      <c r="E78" s="531">
        <v>214</v>
      </c>
      <c r="F78" s="533">
        <f t="shared" ref="F78" si="69">D78*E78</f>
        <v>8560</v>
      </c>
      <c r="G78" s="531">
        <v>226</v>
      </c>
      <c r="H78" s="515">
        <v>40</v>
      </c>
      <c r="I78" s="531">
        <f t="shared" ref="I78" si="70">G78*H78</f>
        <v>9040</v>
      </c>
      <c r="J78" s="532">
        <f t="shared" ref="J78" si="71">I78/F78-1</f>
        <v>5.6074766355140193E-2</v>
      </c>
      <c r="K78" s="533">
        <f t="shared" ref="K78" si="72">C78*(1+J78)</f>
        <v>1160.6261682242991</v>
      </c>
      <c r="L78" s="369" t="s">
        <v>401</v>
      </c>
      <c r="M78" s="973" t="s">
        <v>348</v>
      </c>
    </row>
    <row r="79" spans="1:13" ht="312" customHeight="1">
      <c r="A79" s="511">
        <v>1</v>
      </c>
      <c r="B79" s="78" t="s">
        <v>46</v>
      </c>
      <c r="C79" s="511">
        <v>577</v>
      </c>
      <c r="D79" s="695">
        <v>38.5</v>
      </c>
      <c r="E79" s="511">
        <v>876</v>
      </c>
      <c r="F79" s="513">
        <f t="shared" si="63"/>
        <v>33726</v>
      </c>
      <c r="G79" s="531">
        <v>1050</v>
      </c>
      <c r="H79" s="515">
        <v>40</v>
      </c>
      <c r="I79" s="511">
        <f t="shared" si="64"/>
        <v>42000</v>
      </c>
      <c r="J79" s="512">
        <f t="shared" ref="J79:J86" si="73">I79/F79-1</f>
        <v>0.24533001245330022</v>
      </c>
      <c r="K79" s="513">
        <f t="shared" ref="K79:K86" si="74">C79*(1+J79)</f>
        <v>718.55541718555423</v>
      </c>
      <c r="L79" s="363" t="s">
        <v>307</v>
      </c>
      <c r="M79" s="979" t="s">
        <v>355</v>
      </c>
    </row>
    <row r="80" spans="1:13" ht="137.85" customHeight="1">
      <c r="A80" s="511">
        <v>2</v>
      </c>
      <c r="B80" s="78" t="s">
        <v>46</v>
      </c>
      <c r="C80" s="511">
        <v>577</v>
      </c>
      <c r="D80" s="695">
        <v>38.5</v>
      </c>
      <c r="E80" s="511">
        <v>876</v>
      </c>
      <c r="F80" s="513">
        <f t="shared" si="63"/>
        <v>33726</v>
      </c>
      <c r="G80" s="531">
        <v>1100</v>
      </c>
      <c r="H80" s="515">
        <v>45</v>
      </c>
      <c r="I80" s="511">
        <f t="shared" si="64"/>
        <v>49500</v>
      </c>
      <c r="J80" s="512">
        <f t="shared" si="73"/>
        <v>0.46771037181996089</v>
      </c>
      <c r="K80" s="513">
        <f t="shared" si="74"/>
        <v>846.86888454011739</v>
      </c>
      <c r="L80" s="363" t="s">
        <v>402</v>
      </c>
      <c r="M80" s="979" t="s">
        <v>355</v>
      </c>
    </row>
    <row r="81" spans="1:13" s="613" customFormat="1">
      <c r="A81" s="531">
        <v>1</v>
      </c>
      <c r="B81" s="46" t="s">
        <v>16</v>
      </c>
      <c r="C81" s="531">
        <v>422</v>
      </c>
      <c r="D81" s="697">
        <v>36.799999999999997</v>
      </c>
      <c r="E81" s="531">
        <v>4328</v>
      </c>
      <c r="F81" s="533">
        <f t="shared" si="63"/>
        <v>159270.39999999999</v>
      </c>
      <c r="G81" s="531">
        <v>4750</v>
      </c>
      <c r="H81" s="515">
        <v>36.299999999999997</v>
      </c>
      <c r="I81" s="531">
        <f t="shared" si="64"/>
        <v>172425</v>
      </c>
      <c r="J81" s="532">
        <f t="shared" si="73"/>
        <v>8.2592873503174458E-2</v>
      </c>
      <c r="K81" s="533">
        <f t="shared" si="74"/>
        <v>456.8541926183396</v>
      </c>
      <c r="L81" s="369" t="s">
        <v>403</v>
      </c>
      <c r="M81" s="972" t="s">
        <v>355</v>
      </c>
    </row>
    <row r="82" spans="1:13" s="613" customFormat="1">
      <c r="A82" s="531">
        <v>2</v>
      </c>
      <c r="B82" s="46" t="s">
        <v>16</v>
      </c>
      <c r="C82" s="531">
        <v>422</v>
      </c>
      <c r="D82" s="697">
        <v>36.799999999999997</v>
      </c>
      <c r="E82" s="531">
        <v>4328</v>
      </c>
      <c r="F82" s="533">
        <f t="shared" ref="F82" si="75">D82*E82</f>
        <v>159270.39999999999</v>
      </c>
      <c r="G82" s="531">
        <v>4750</v>
      </c>
      <c r="H82" s="515">
        <v>35</v>
      </c>
      <c r="I82" s="531">
        <f t="shared" ref="I82" si="76">G82*H82</f>
        <v>166250</v>
      </c>
      <c r="J82" s="532">
        <f t="shared" ref="J82" si="77">I82/F82-1</f>
        <v>4.3822329823997475E-2</v>
      </c>
      <c r="K82" s="533">
        <f t="shared" ref="K82" si="78">C82*(1+J82)</f>
        <v>440.49302318572694</v>
      </c>
      <c r="L82" s="369"/>
      <c r="M82" s="972"/>
    </row>
    <row r="83" spans="1:13" ht="35.85" customHeight="1">
      <c r="A83" s="524">
        <v>1</v>
      </c>
      <c r="B83" s="185" t="s">
        <v>44</v>
      </c>
      <c r="C83" s="524">
        <v>4163</v>
      </c>
      <c r="D83" s="702">
        <v>64.599999999999994</v>
      </c>
      <c r="E83" s="524">
        <v>1723</v>
      </c>
      <c r="F83" s="526">
        <f t="shared" si="63"/>
        <v>111305.79999999999</v>
      </c>
      <c r="G83" s="531">
        <v>1900</v>
      </c>
      <c r="H83" s="515">
        <f>D83</f>
        <v>64.599999999999994</v>
      </c>
      <c r="I83" s="524">
        <f t="shared" si="64"/>
        <v>122739.99999999999</v>
      </c>
      <c r="J83" s="525">
        <f t="shared" si="73"/>
        <v>0.10272780034822993</v>
      </c>
      <c r="K83" s="526">
        <f t="shared" si="74"/>
        <v>4590.6558328496812</v>
      </c>
      <c r="L83" s="366"/>
      <c r="M83" s="979" t="s">
        <v>362</v>
      </c>
    </row>
    <row r="84" spans="1:13" ht="35.85" customHeight="1">
      <c r="A84" s="524"/>
      <c r="B84" s="185" t="s">
        <v>44</v>
      </c>
      <c r="C84" s="524">
        <v>4002</v>
      </c>
      <c r="D84" s="702">
        <v>64.599999999999994</v>
      </c>
      <c r="E84" s="524">
        <v>1723</v>
      </c>
      <c r="F84" s="526">
        <f t="shared" si="63"/>
        <v>111305.79999999999</v>
      </c>
      <c r="G84" s="531">
        <v>1900</v>
      </c>
      <c r="H84" s="515">
        <f>D84</f>
        <v>64.599999999999994</v>
      </c>
      <c r="I84" s="524">
        <f t="shared" si="64"/>
        <v>122739.99999999999</v>
      </c>
      <c r="J84" s="525">
        <f t="shared" si="73"/>
        <v>0.10272780034822993</v>
      </c>
      <c r="K84" s="526">
        <f t="shared" si="74"/>
        <v>4413.1166569936158</v>
      </c>
      <c r="L84" s="366"/>
    </row>
    <row r="85" spans="1:13">
      <c r="A85" s="511">
        <v>1</v>
      </c>
      <c r="B85" s="78" t="s">
        <v>13</v>
      </c>
      <c r="C85" s="511">
        <v>11258</v>
      </c>
      <c r="D85" s="695">
        <v>46</v>
      </c>
      <c r="E85" s="511">
        <v>7004</v>
      </c>
      <c r="F85" s="513">
        <f t="shared" si="63"/>
        <v>322184</v>
      </c>
      <c r="G85" s="531">
        <v>7941</v>
      </c>
      <c r="H85" s="515">
        <f>D85</f>
        <v>46</v>
      </c>
      <c r="I85" s="511">
        <f t="shared" si="64"/>
        <v>365286</v>
      </c>
      <c r="J85" s="512">
        <f t="shared" si="73"/>
        <v>0.13378069674471726</v>
      </c>
      <c r="K85" s="513">
        <f t="shared" si="74"/>
        <v>12764.103083952026</v>
      </c>
      <c r="L85" s="363" t="s">
        <v>404</v>
      </c>
      <c r="M85" s="979" t="s">
        <v>355</v>
      </c>
    </row>
    <row r="86" spans="1:13">
      <c r="A86" s="511">
        <v>2</v>
      </c>
      <c r="B86" s="78" t="s">
        <v>13</v>
      </c>
      <c r="C86" s="511">
        <v>11834</v>
      </c>
      <c r="D86" s="695">
        <v>48.4</v>
      </c>
      <c r="E86" s="511">
        <v>7004</v>
      </c>
      <c r="F86" s="513">
        <f t="shared" si="63"/>
        <v>338993.6</v>
      </c>
      <c r="G86" s="531">
        <v>7941</v>
      </c>
      <c r="H86" s="515">
        <v>29.7</v>
      </c>
      <c r="I86" s="511">
        <f t="shared" si="64"/>
        <v>235847.69999999998</v>
      </c>
      <c r="J86" s="512">
        <f t="shared" si="73"/>
        <v>-0.30427093608846889</v>
      </c>
      <c r="K86" s="513">
        <f t="shared" si="74"/>
        <v>8233.2577423290586</v>
      </c>
      <c r="L86" s="363"/>
      <c r="M86" s="979" t="s">
        <v>355</v>
      </c>
    </row>
    <row r="88" spans="1:13">
      <c r="A88" s="948">
        <v>1</v>
      </c>
      <c r="B88" s="964" t="s">
        <v>405</v>
      </c>
      <c r="C88" s="948">
        <v>5152</v>
      </c>
      <c r="D88" s="965">
        <v>43</v>
      </c>
      <c r="E88" s="562">
        <v>368</v>
      </c>
      <c r="F88" s="942">
        <f>D88*E88</f>
        <v>15824</v>
      </c>
      <c r="G88" s="47">
        <v>7941</v>
      </c>
      <c r="H88" s="563">
        <f>D88</f>
        <v>43</v>
      </c>
      <c r="I88" s="562">
        <f>G88*H88</f>
        <v>341463</v>
      </c>
      <c r="J88" s="941">
        <f>I88/F88-1</f>
        <v>20.578804347826086</v>
      </c>
      <c r="K88" s="942">
        <f>C88*(1+J88)</f>
        <v>111174</v>
      </c>
      <c r="L88" s="956"/>
      <c r="M88" s="979" t="s">
        <v>348</v>
      </c>
    </row>
    <row r="89" spans="1:13">
      <c r="A89" s="948">
        <v>2</v>
      </c>
      <c r="B89" s="964" t="s">
        <v>405</v>
      </c>
      <c r="C89" s="948"/>
      <c r="D89" s="965"/>
      <c r="E89" s="948"/>
      <c r="F89" s="966"/>
      <c r="G89" s="392"/>
      <c r="H89" s="952"/>
      <c r="I89" s="948"/>
      <c r="J89" s="948"/>
      <c r="K89" s="948"/>
      <c r="L89" s="956"/>
      <c r="M89" s="979" t="s">
        <v>348</v>
      </c>
    </row>
    <row r="90" spans="1:13">
      <c r="A90" s="575">
        <v>1</v>
      </c>
      <c r="B90" s="575" t="s">
        <v>406</v>
      </c>
      <c r="C90" s="575"/>
      <c r="D90" s="967"/>
      <c r="E90" s="575"/>
      <c r="F90" s="968"/>
      <c r="G90" s="583"/>
      <c r="H90" s="969"/>
      <c r="I90" s="575"/>
      <c r="J90" s="575"/>
      <c r="K90" s="575"/>
      <c r="L90" s="794"/>
      <c r="M90" s="979" t="s">
        <v>362</v>
      </c>
    </row>
    <row r="91" spans="1:13">
      <c r="A91" s="575">
        <v>2</v>
      </c>
      <c r="B91" s="575" t="s">
        <v>406</v>
      </c>
      <c r="C91" s="575"/>
      <c r="D91" s="967"/>
      <c r="E91" s="575"/>
      <c r="F91" s="968"/>
      <c r="G91" s="583"/>
      <c r="H91" s="969"/>
      <c r="I91" s="575"/>
      <c r="J91" s="575"/>
      <c r="K91" s="575"/>
      <c r="L91" s="794"/>
      <c r="M91" s="979" t="s">
        <v>362</v>
      </c>
    </row>
    <row r="92" spans="1:13">
      <c r="A92" s="575"/>
      <c r="B92" s="575"/>
      <c r="C92" s="575"/>
      <c r="D92" s="967"/>
      <c r="E92" s="575"/>
      <c r="F92" s="968"/>
      <c r="G92" s="583"/>
      <c r="H92" s="969"/>
      <c r="I92" s="575"/>
      <c r="J92" s="575"/>
      <c r="K92" s="575"/>
      <c r="L92" s="794"/>
    </row>
    <row r="93" spans="1:13" s="949" customFormat="1" ht="59.1" customHeight="1">
      <c r="A93" s="673">
        <v>1</v>
      </c>
      <c r="B93" s="673" t="s">
        <v>407</v>
      </c>
      <c r="C93" s="673">
        <v>679</v>
      </c>
      <c r="D93" s="974">
        <v>72.900000000000006</v>
      </c>
      <c r="E93" s="562">
        <v>547</v>
      </c>
      <c r="F93" s="942">
        <f t="shared" ref="F93:F98" si="79">D93*E93</f>
        <v>39876.300000000003</v>
      </c>
      <c r="G93" s="47">
        <v>571</v>
      </c>
      <c r="H93" s="563">
        <v>78.8</v>
      </c>
      <c r="I93" s="562">
        <f t="shared" ref="I93:I98" si="80">G93*H93</f>
        <v>44994.799999999996</v>
      </c>
      <c r="J93" s="941">
        <f t="shared" ref="J93:J99" si="81">I93/F93-1</f>
        <v>0.12835945160408535</v>
      </c>
      <c r="K93" s="942">
        <f t="shared" ref="K93:K98" si="82">C93*(1+J93)</f>
        <v>766.1560676391739</v>
      </c>
      <c r="L93" s="956" t="s">
        <v>408</v>
      </c>
      <c r="M93" s="978" t="s">
        <v>355</v>
      </c>
    </row>
    <row r="94" spans="1:13" s="949" customFormat="1" ht="29.1">
      <c r="A94" s="673">
        <v>2</v>
      </c>
      <c r="B94" s="673" t="s">
        <v>407</v>
      </c>
      <c r="C94" s="673">
        <v>685</v>
      </c>
      <c r="D94" s="974">
        <v>72.900000000000006</v>
      </c>
      <c r="E94" s="562">
        <v>547</v>
      </c>
      <c r="F94" s="942">
        <f t="shared" si="79"/>
        <v>39876.300000000003</v>
      </c>
      <c r="G94" s="47">
        <v>571</v>
      </c>
      <c r="H94" s="563">
        <v>78.8</v>
      </c>
      <c r="I94" s="562">
        <f t="shared" si="80"/>
        <v>44994.799999999996</v>
      </c>
      <c r="J94" s="941">
        <f t="shared" si="81"/>
        <v>0.12835945160408535</v>
      </c>
      <c r="K94" s="942">
        <f t="shared" si="82"/>
        <v>772.92622434879843</v>
      </c>
      <c r="L94" s="975" t="s">
        <v>409</v>
      </c>
      <c r="M94" s="978" t="s">
        <v>355</v>
      </c>
    </row>
    <row r="95" spans="1:13" s="613" customFormat="1" ht="149.85" customHeight="1">
      <c r="A95" s="583">
        <v>1</v>
      </c>
      <c r="B95" s="34" t="s">
        <v>410</v>
      </c>
      <c r="C95" s="583">
        <v>1339</v>
      </c>
      <c r="D95" s="970">
        <v>137</v>
      </c>
      <c r="E95" s="47">
        <v>167</v>
      </c>
      <c r="F95" s="944">
        <f t="shared" si="79"/>
        <v>22879</v>
      </c>
      <c r="G95" s="47">
        <v>300</v>
      </c>
      <c r="H95" s="563">
        <v>90</v>
      </c>
      <c r="I95" s="47">
        <f t="shared" si="80"/>
        <v>27000</v>
      </c>
      <c r="J95" s="943">
        <f t="shared" si="81"/>
        <v>0.18012150880720301</v>
      </c>
      <c r="K95" s="944">
        <f t="shared" si="82"/>
        <v>1580.1827002928449</v>
      </c>
      <c r="L95" s="976" t="s">
        <v>411</v>
      </c>
      <c r="M95" s="973" t="s">
        <v>412</v>
      </c>
    </row>
    <row r="96" spans="1:13" s="613" customFormat="1" ht="114" customHeight="1">
      <c r="A96" s="583">
        <v>2</v>
      </c>
      <c r="B96" s="34" t="s">
        <v>410</v>
      </c>
      <c r="C96" s="583">
        <v>1339</v>
      </c>
      <c r="D96" s="970">
        <v>137</v>
      </c>
      <c r="E96" s="47">
        <v>167</v>
      </c>
      <c r="F96" s="944">
        <f t="shared" si="79"/>
        <v>22879</v>
      </c>
      <c r="G96" s="47">
        <v>325</v>
      </c>
      <c r="H96" s="563">
        <v>80</v>
      </c>
      <c r="I96" s="47">
        <f t="shared" si="80"/>
        <v>26000</v>
      </c>
      <c r="J96" s="943">
        <f t="shared" si="81"/>
        <v>0.13641330477730662</v>
      </c>
      <c r="K96" s="944">
        <f t="shared" si="82"/>
        <v>1521.6574150968136</v>
      </c>
      <c r="L96" s="621" t="s">
        <v>413</v>
      </c>
      <c r="M96" s="972"/>
    </row>
    <row r="97" spans="1:13" s="948" customFormat="1" ht="75.599999999999994" customHeight="1">
      <c r="A97" s="673">
        <v>1</v>
      </c>
      <c r="B97" s="74" t="s">
        <v>414</v>
      </c>
      <c r="C97" s="673">
        <v>1672</v>
      </c>
      <c r="D97" s="974">
        <v>35</v>
      </c>
      <c r="E97" s="562">
        <v>2360</v>
      </c>
      <c r="F97" s="942">
        <f t="shared" si="79"/>
        <v>82600</v>
      </c>
      <c r="G97" s="47">
        <v>0</v>
      </c>
      <c r="H97" s="563">
        <v>35</v>
      </c>
      <c r="I97" s="562">
        <f t="shared" si="80"/>
        <v>0</v>
      </c>
      <c r="J97" s="941">
        <f t="shared" si="81"/>
        <v>-1</v>
      </c>
      <c r="K97" s="942">
        <f t="shared" si="82"/>
        <v>0</v>
      </c>
      <c r="L97" s="956"/>
      <c r="M97" s="971"/>
    </row>
    <row r="98" spans="1:13" s="948" customFormat="1" ht="75.599999999999994" customHeight="1">
      <c r="A98" s="673">
        <v>2</v>
      </c>
      <c r="B98" s="74" t="s">
        <v>414</v>
      </c>
      <c r="C98" s="673">
        <v>1672</v>
      </c>
      <c r="D98" s="974">
        <v>35</v>
      </c>
      <c r="E98" s="562">
        <v>2360</v>
      </c>
      <c r="F98" s="942">
        <f t="shared" si="79"/>
        <v>82600</v>
      </c>
      <c r="G98" s="47">
        <v>0</v>
      </c>
      <c r="H98" s="563">
        <v>30</v>
      </c>
      <c r="I98" s="562">
        <f t="shared" si="80"/>
        <v>0</v>
      </c>
      <c r="J98" s="941">
        <f t="shared" si="81"/>
        <v>-1</v>
      </c>
      <c r="K98" s="942">
        <f t="shared" si="82"/>
        <v>0</v>
      </c>
      <c r="L98" s="956" t="s">
        <v>415</v>
      </c>
      <c r="M98" s="971"/>
    </row>
    <row r="99" spans="1:13" s="456" customFormat="1" ht="126">
      <c r="A99" s="460">
        <v>1</v>
      </c>
      <c r="B99" s="34" t="s">
        <v>229</v>
      </c>
      <c r="C99" s="460">
        <v>1877</v>
      </c>
      <c r="D99" s="460">
        <v>103</v>
      </c>
      <c r="E99" s="460">
        <v>161</v>
      </c>
      <c r="F99" s="461">
        <f t="shared" ref="F99:F100" si="83">D99*E99</f>
        <v>16583</v>
      </c>
      <c r="G99" s="556">
        <v>225</v>
      </c>
      <c r="H99" s="604">
        <v>100</v>
      </c>
      <c r="I99" s="461">
        <f t="shared" ref="I99:I100" si="84">G99*H99</f>
        <v>22500</v>
      </c>
      <c r="J99" s="231">
        <f t="shared" si="81"/>
        <v>0.35681119218476742</v>
      </c>
      <c r="K99" s="461">
        <f t="shared" ref="K99:K100" si="85">C99*(1+J99)</f>
        <v>2546.7346077308084</v>
      </c>
      <c r="L99" s="494" t="s">
        <v>416</v>
      </c>
      <c r="M99" s="973" t="s">
        <v>417</v>
      </c>
    </row>
    <row r="100" spans="1:13" s="456" customFormat="1" ht="111.95">
      <c r="A100" s="460">
        <v>2</v>
      </c>
      <c r="B100" s="34" t="s">
        <v>229</v>
      </c>
      <c r="C100" s="460">
        <v>1877</v>
      </c>
      <c r="D100" s="460">
        <v>103</v>
      </c>
      <c r="E100" s="460">
        <v>161</v>
      </c>
      <c r="F100" s="461">
        <f t="shared" si="83"/>
        <v>16583</v>
      </c>
      <c r="G100" s="556">
        <v>225</v>
      </c>
      <c r="H100" s="604">
        <v>80</v>
      </c>
      <c r="I100" s="461">
        <f t="shared" si="84"/>
        <v>18000</v>
      </c>
      <c r="J100" s="231">
        <f t="shared" ref="J100" si="86">I100/F100-1</f>
        <v>8.5448953747814027E-2</v>
      </c>
      <c r="K100" s="461">
        <f t="shared" si="85"/>
        <v>2037.387686184647</v>
      </c>
      <c r="L100" s="494" t="s">
        <v>418</v>
      </c>
      <c r="M100" s="973" t="s">
        <v>419</v>
      </c>
    </row>
  </sheetData>
  <autoFilter ref="A1:M86" xr:uid="{A4232BDE-A6A1-46E7-B720-2E269757B047}"/>
  <sortState xmlns:xlrd2="http://schemas.microsoft.com/office/spreadsheetml/2017/richdata2" ref="A2:L88">
    <sortCondition ref="B2:B88"/>
  </sortState>
  <pageMargins left="0.7" right="0.7" top="0.75" bottom="0.75" header="0.3" footer="0.3"/>
  <drawing r:id="rId1"/>
  <legacyDrawing r:id="rId2"/>
  <controls>
    <mc:AlternateContent xmlns:mc="http://schemas.openxmlformats.org/markup-compatibility/2006">
      <mc:Choice Requires="x14">
        <control shapeId="2065" r:id="rId3" name="Control 17">
          <controlPr defaultSize="0" r:id="rId4">
            <anchor moveWithCells="1">
              <from>
                <xdr:col>10</xdr:col>
                <xdr:colOff>590550</xdr:colOff>
                <xdr:row>80</xdr:row>
                <xdr:rowOff>31750</xdr:rowOff>
              </from>
              <to>
                <xdr:col>11</xdr:col>
                <xdr:colOff>0</xdr:colOff>
                <xdr:row>81</xdr:row>
                <xdr:rowOff>63500</xdr:rowOff>
              </to>
            </anchor>
          </controlPr>
        </control>
      </mc:Choice>
      <mc:Fallback>
        <control shapeId="2065" r:id="rId3" name="Control 17"/>
      </mc:Fallback>
    </mc:AlternateContent>
  </control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723A12-C666-46FF-8BD9-B2A2082984BD}">
  <dimension ref="A1:O188"/>
  <sheetViews>
    <sheetView topLeftCell="A61" zoomScale="90" zoomScaleNormal="90" workbookViewId="0">
      <pane xSplit="2" topLeftCell="C8" activePane="topRight" state="frozen"/>
      <selection pane="topRight" activeCell="B8" sqref="B8"/>
      <selection activeCell="B1" sqref="B1"/>
    </sheetView>
  </sheetViews>
  <sheetFormatPr defaultColWidth="8.7109375" defaultRowHeight="14.1"/>
  <cols>
    <col min="1" max="1" width="4.7109375" style="855" customWidth="1"/>
    <col min="2" max="2" width="28" style="71" customWidth="1"/>
    <col min="3" max="3" width="7.5703125" style="30" customWidth="1"/>
    <col min="4" max="4" width="7.28515625" style="30" customWidth="1"/>
    <col min="5" max="5" width="13.7109375" style="683" customWidth="1"/>
    <col min="6" max="6" width="10.5703125" style="788" customWidth="1"/>
    <col min="7" max="7" width="9.42578125" style="779" customWidth="1"/>
    <col min="8" max="8" width="10.28515625" style="768" customWidth="1"/>
    <col min="9" max="9" width="8.28515625" style="789" customWidth="1"/>
    <col min="10" max="11" width="10.5703125" style="1068" customWidth="1"/>
    <col min="12" max="12" width="10.7109375" style="30" customWidth="1"/>
    <col min="13" max="13" width="11.42578125" style="683" customWidth="1"/>
    <col min="14" max="14" width="156.140625" style="414" customWidth="1"/>
    <col min="15" max="15" width="90.7109375" style="30" customWidth="1"/>
    <col min="16" max="16384" width="8.7109375" style="30"/>
  </cols>
  <sheetData>
    <row r="1" spans="1:14" ht="50.1" customHeight="1">
      <c r="A1" s="854" t="s">
        <v>0</v>
      </c>
      <c r="B1" s="34" t="s">
        <v>1</v>
      </c>
      <c r="C1" s="34" t="s">
        <v>2</v>
      </c>
      <c r="D1" s="34" t="s">
        <v>3</v>
      </c>
      <c r="E1" s="586" t="s">
        <v>4</v>
      </c>
      <c r="F1" s="737" t="s">
        <v>5</v>
      </c>
      <c r="G1" s="772" t="s">
        <v>6</v>
      </c>
      <c r="H1" s="761" t="s">
        <v>7</v>
      </c>
      <c r="I1" s="714" t="s">
        <v>8</v>
      </c>
      <c r="J1" s="1022" t="s">
        <v>9</v>
      </c>
      <c r="K1" s="1022" t="s">
        <v>10</v>
      </c>
      <c r="L1" s="35"/>
      <c r="M1" s="586" t="s">
        <v>59</v>
      </c>
      <c r="N1" s="413" t="s">
        <v>12</v>
      </c>
    </row>
    <row r="2" spans="1:14" ht="42">
      <c r="A2" s="855">
        <v>1</v>
      </c>
      <c r="B2" s="69" t="s">
        <v>66</v>
      </c>
      <c r="C2" s="30">
        <v>298</v>
      </c>
      <c r="D2" s="30">
        <v>72.599999999999994</v>
      </c>
      <c r="E2" s="683">
        <v>6.53</v>
      </c>
      <c r="F2" s="788">
        <f t="shared" ref="F2:F31" si="0">D2*E2</f>
        <v>474.07799999999997</v>
      </c>
      <c r="G2" s="779">
        <v>11</v>
      </c>
      <c r="H2" s="768">
        <f>D2</f>
        <v>72.599999999999994</v>
      </c>
      <c r="I2" s="789">
        <f t="shared" ref="I2:I31" si="1">G2*H2</f>
        <v>798.59999999999991</v>
      </c>
      <c r="J2" s="1030">
        <f>I2/F2-1</f>
        <v>0.68453292496171514</v>
      </c>
      <c r="K2" s="1046">
        <f>C2*(1+J2)</f>
        <v>501.99081163859114</v>
      </c>
      <c r="L2" s="29" t="s">
        <v>14</v>
      </c>
    </row>
    <row r="3" spans="1:14" ht="27.95">
      <c r="A3" s="855">
        <v>2</v>
      </c>
      <c r="B3" s="69" t="s">
        <v>67</v>
      </c>
      <c r="C3" s="30">
        <v>298</v>
      </c>
      <c r="D3" s="30">
        <v>72.599999999999994</v>
      </c>
      <c r="E3" s="683">
        <v>6.53</v>
      </c>
      <c r="F3" s="788">
        <f t="shared" si="0"/>
        <v>474.07799999999997</v>
      </c>
      <c r="G3" s="779">
        <v>11</v>
      </c>
      <c r="H3" s="768">
        <v>89.5</v>
      </c>
      <c r="I3" s="789">
        <f t="shared" si="1"/>
        <v>984.5</v>
      </c>
      <c r="J3" s="1030">
        <f>I3/F3-1</f>
        <v>1.0766624901387538</v>
      </c>
      <c r="K3" s="1046">
        <f>C3*(1+J3)</f>
        <v>618.84542206134859</v>
      </c>
      <c r="L3" s="29" t="s">
        <v>14</v>
      </c>
    </row>
    <row r="4" spans="1:14">
      <c r="A4" s="856">
        <v>1</v>
      </c>
      <c r="B4" s="338" t="s">
        <v>73</v>
      </c>
      <c r="C4" s="341">
        <v>176</v>
      </c>
      <c r="D4" s="341">
        <v>36.200000000000003</v>
      </c>
      <c r="E4" s="811"/>
      <c r="F4" s="810">
        <f t="shared" si="0"/>
        <v>0</v>
      </c>
      <c r="G4" s="780">
        <v>7</v>
      </c>
      <c r="H4" s="769">
        <f>D4</f>
        <v>36.200000000000003</v>
      </c>
      <c r="I4" s="714">
        <f t="shared" si="1"/>
        <v>253.40000000000003</v>
      </c>
      <c r="J4" s="1028"/>
      <c r="K4" s="1044"/>
      <c r="L4" s="341"/>
      <c r="M4" s="811"/>
      <c r="N4" s="416" t="s">
        <v>75</v>
      </c>
    </row>
    <row r="5" spans="1:14" ht="39" customHeight="1">
      <c r="A5" s="856">
        <v>2</v>
      </c>
      <c r="B5" s="338" t="s">
        <v>73</v>
      </c>
      <c r="C5" s="341">
        <v>176</v>
      </c>
      <c r="D5" s="341">
        <v>36.799999999999997</v>
      </c>
      <c r="E5" s="811">
        <v>5.83</v>
      </c>
      <c r="F5" s="810">
        <f t="shared" si="0"/>
        <v>214.54399999999998</v>
      </c>
      <c r="G5" s="780">
        <v>8</v>
      </c>
      <c r="H5" s="769">
        <v>37.799999999999997</v>
      </c>
      <c r="I5" s="714">
        <f t="shared" si="1"/>
        <v>302.39999999999998</v>
      </c>
      <c r="J5" s="1028">
        <f t="shared" ref="J5:J13" si="2">I5/F5-1</f>
        <v>0.40950108136326357</v>
      </c>
      <c r="K5" s="1044">
        <f t="shared" ref="K5:K18" si="3">C5*(1+J5)</f>
        <v>248.07219031993438</v>
      </c>
      <c r="L5" s="894" t="s">
        <v>76</v>
      </c>
      <c r="M5" s="811"/>
      <c r="N5" s="416" t="s">
        <v>78</v>
      </c>
    </row>
    <row r="6" spans="1:14" s="184" customFormat="1" ht="56.85" customHeight="1">
      <c r="A6" s="864">
        <v>1</v>
      </c>
      <c r="B6" s="176" t="s">
        <v>79</v>
      </c>
      <c r="C6" s="184">
        <v>146</v>
      </c>
      <c r="D6" s="184">
        <v>19.95</v>
      </c>
      <c r="E6" s="603">
        <v>18.3</v>
      </c>
      <c r="F6" s="830">
        <f t="shared" si="0"/>
        <v>365.08499999999998</v>
      </c>
      <c r="G6" s="779">
        <v>25</v>
      </c>
      <c r="H6" s="768">
        <v>24</v>
      </c>
      <c r="I6" s="831">
        <f t="shared" si="1"/>
        <v>600</v>
      </c>
      <c r="J6" s="1029">
        <f t="shared" si="2"/>
        <v>0.64345289453141064</v>
      </c>
      <c r="K6" s="1045">
        <f t="shared" si="3"/>
        <v>239.94412260158595</v>
      </c>
      <c r="L6" s="183" t="s">
        <v>14</v>
      </c>
      <c r="M6" s="603">
        <v>2.15</v>
      </c>
      <c r="N6" s="921" t="s">
        <v>80</v>
      </c>
    </row>
    <row r="7" spans="1:14" s="184" customFormat="1" ht="38.1" customHeight="1">
      <c r="A7" s="864">
        <v>2</v>
      </c>
      <c r="B7" s="176" t="s">
        <v>79</v>
      </c>
      <c r="C7" s="184">
        <v>146</v>
      </c>
      <c r="D7" s="184">
        <v>19.95</v>
      </c>
      <c r="E7" s="603">
        <v>18.3</v>
      </c>
      <c r="F7" s="830">
        <f t="shared" si="0"/>
        <v>365.08499999999998</v>
      </c>
      <c r="G7" s="779">
        <v>25</v>
      </c>
      <c r="H7" s="768">
        <v>20</v>
      </c>
      <c r="I7" s="831">
        <f t="shared" si="1"/>
        <v>500</v>
      </c>
      <c r="J7" s="1029">
        <f t="shared" si="2"/>
        <v>0.36954407877617546</v>
      </c>
      <c r="K7" s="1045">
        <f t="shared" si="3"/>
        <v>199.95343550132162</v>
      </c>
      <c r="L7" s="183" t="s">
        <v>14</v>
      </c>
      <c r="M7" s="603"/>
      <c r="N7" s="371" t="s">
        <v>331</v>
      </c>
    </row>
    <row r="8" spans="1:14" s="34" customFormat="1" ht="60" customHeight="1">
      <c r="A8" s="34" t="s">
        <v>182</v>
      </c>
      <c r="B8" s="34" t="s">
        <v>420</v>
      </c>
      <c r="C8" s="545">
        <v>685</v>
      </c>
      <c r="D8" s="545">
        <v>78.099999999999994</v>
      </c>
      <c r="E8" s="656">
        <v>17.100000000000001</v>
      </c>
      <c r="F8" s="748">
        <f t="shared" ref="F8:F9" si="4">D8*E8</f>
        <v>1335.51</v>
      </c>
      <c r="G8" s="779">
        <v>20</v>
      </c>
      <c r="H8" s="768">
        <f>D8</f>
        <v>78.099999999999994</v>
      </c>
      <c r="I8" s="724">
        <f t="shared" ref="I8:I9" si="5">G8*H8</f>
        <v>1562</v>
      </c>
      <c r="J8" s="1028">
        <f t="shared" ref="J8:J9" si="6">I8/F8-1</f>
        <v>0.16959064327485374</v>
      </c>
      <c r="K8" s="1044">
        <f t="shared" ref="K8:K9" si="7">C8*(1+J8)</f>
        <v>801.16959064327477</v>
      </c>
      <c r="N8" s="361" t="s">
        <v>421</v>
      </c>
    </row>
    <row r="9" spans="1:14" s="34" customFormat="1" ht="192" customHeight="1">
      <c r="A9" s="34" t="s">
        <v>186</v>
      </c>
      <c r="B9" s="34" t="s">
        <v>420</v>
      </c>
      <c r="C9" s="545">
        <v>685</v>
      </c>
      <c r="D9" s="545">
        <v>78.099999999999994</v>
      </c>
      <c r="E9" s="656">
        <v>17.100000000000001</v>
      </c>
      <c r="F9" s="748">
        <f t="shared" si="4"/>
        <v>1335.51</v>
      </c>
      <c r="G9" s="779">
        <v>21</v>
      </c>
      <c r="H9" s="768">
        <v>60</v>
      </c>
      <c r="I9" s="724">
        <f t="shared" si="5"/>
        <v>1260</v>
      </c>
      <c r="J9" s="1028">
        <f t="shared" si="6"/>
        <v>-5.6540198126558416E-2</v>
      </c>
      <c r="K9" s="1044">
        <f t="shared" si="7"/>
        <v>646.26996428330744</v>
      </c>
      <c r="N9" s="361" t="s">
        <v>422</v>
      </c>
    </row>
    <row r="10" spans="1:14" s="1217" customFormat="1" ht="259.5" customHeight="1">
      <c r="A10" s="1215">
        <v>1</v>
      </c>
      <c r="B10" s="1216" t="s">
        <v>86</v>
      </c>
      <c r="C10" s="1217">
        <v>722</v>
      </c>
      <c r="D10" s="1217">
        <v>30.6</v>
      </c>
      <c r="E10" s="1218">
        <v>38.5</v>
      </c>
      <c r="F10" s="1219">
        <f t="shared" si="0"/>
        <v>1178.1000000000001</v>
      </c>
      <c r="G10" s="779">
        <v>46</v>
      </c>
      <c r="H10" s="779">
        <f>D10</f>
        <v>30.6</v>
      </c>
      <c r="I10" s="1220">
        <f t="shared" si="1"/>
        <v>1407.6000000000001</v>
      </c>
      <c r="J10" s="1221">
        <f t="shared" si="2"/>
        <v>0.19480519480519476</v>
      </c>
      <c r="K10" s="1222">
        <f t="shared" si="3"/>
        <v>862.64935064935059</v>
      </c>
      <c r="L10" s="1223" t="s">
        <v>14</v>
      </c>
      <c r="M10" s="1218"/>
      <c r="N10" s="1224" t="s">
        <v>423</v>
      </c>
    </row>
    <row r="11" spans="1:14" s="1217" customFormat="1" ht="80.099999999999994" customHeight="1">
      <c r="A11" s="1225">
        <v>2</v>
      </c>
      <c r="B11" s="1216" t="s">
        <v>86</v>
      </c>
      <c r="C11" s="1217">
        <v>722</v>
      </c>
      <c r="D11" s="1217">
        <v>30.6</v>
      </c>
      <c r="E11" s="1218">
        <v>38.5</v>
      </c>
      <c r="F11" s="1219">
        <f t="shared" si="0"/>
        <v>1178.1000000000001</v>
      </c>
      <c r="G11" s="779">
        <v>46</v>
      </c>
      <c r="H11" s="779">
        <v>39</v>
      </c>
      <c r="I11" s="1220">
        <f t="shared" si="1"/>
        <v>1794</v>
      </c>
      <c r="J11" s="1221">
        <f t="shared" si="2"/>
        <v>0.5227909345556403</v>
      </c>
      <c r="K11" s="1222">
        <f t="shared" si="3"/>
        <v>1099.4550547491724</v>
      </c>
      <c r="L11" s="1223"/>
      <c r="M11" s="1218"/>
      <c r="N11" s="1224" t="s">
        <v>424</v>
      </c>
    </row>
    <row r="12" spans="1:14" ht="27.95">
      <c r="A12" s="858">
        <v>1</v>
      </c>
      <c r="B12" s="34" t="s">
        <v>89</v>
      </c>
      <c r="C12" s="34" t="s">
        <v>425</v>
      </c>
      <c r="D12" s="34" t="s">
        <v>426</v>
      </c>
      <c r="E12" s="656">
        <v>13</v>
      </c>
      <c r="F12" s="748">
        <f t="shared" si="0"/>
        <v>772.19999999999993</v>
      </c>
      <c r="G12" s="779">
        <v>18</v>
      </c>
      <c r="H12" s="768" t="str">
        <f>D12</f>
        <v>59.4</v>
      </c>
      <c r="I12" s="724">
        <f t="shared" si="1"/>
        <v>1069.2</v>
      </c>
      <c r="J12" s="1028">
        <f t="shared" si="2"/>
        <v>0.3846153846153848</v>
      </c>
      <c r="K12" s="1044">
        <f t="shared" si="3"/>
        <v>1794.4615384615388</v>
      </c>
      <c r="L12" s="459" t="s">
        <v>14</v>
      </c>
      <c r="M12" s="656"/>
      <c r="N12" s="463" t="s">
        <v>92</v>
      </c>
    </row>
    <row r="13" spans="1:14" ht="75" customHeight="1">
      <c r="A13" s="858">
        <v>2</v>
      </c>
      <c r="B13" s="34" t="s">
        <v>93</v>
      </c>
      <c r="C13" s="34" t="s">
        <v>90</v>
      </c>
      <c r="D13" s="34" t="s">
        <v>91</v>
      </c>
      <c r="E13" s="656">
        <v>13</v>
      </c>
      <c r="F13" s="748">
        <f t="shared" si="0"/>
        <v>735.80000000000007</v>
      </c>
      <c r="G13" s="779">
        <v>18</v>
      </c>
      <c r="H13" s="768">
        <v>64</v>
      </c>
      <c r="I13" s="724">
        <f t="shared" si="1"/>
        <v>1152</v>
      </c>
      <c r="J13" s="1028">
        <f t="shared" si="2"/>
        <v>0.56564283772764323</v>
      </c>
      <c r="K13" s="1044">
        <f t="shared" si="3"/>
        <v>1932.0032617559118</v>
      </c>
      <c r="L13" s="459" t="s">
        <v>14</v>
      </c>
      <c r="M13" s="656"/>
      <c r="N13" s="463"/>
    </row>
    <row r="14" spans="1:14" ht="27.95">
      <c r="A14" s="859">
        <v>1</v>
      </c>
      <c r="B14" s="70" t="s">
        <v>96</v>
      </c>
      <c r="C14" s="30">
        <v>336</v>
      </c>
      <c r="D14" s="30">
        <v>80.52</v>
      </c>
      <c r="E14" s="683">
        <v>26.2</v>
      </c>
      <c r="F14" s="788">
        <f t="shared" si="0"/>
        <v>2109.6239999999998</v>
      </c>
      <c r="G14" s="779" t="s">
        <v>21</v>
      </c>
      <c r="H14" s="768">
        <f>D14</f>
        <v>80.52</v>
      </c>
      <c r="I14" s="789" t="e">
        <f t="shared" si="1"/>
        <v>#VALUE!</v>
      </c>
      <c r="J14" s="1030" t="s">
        <v>97</v>
      </c>
      <c r="K14" s="1046" t="e">
        <f t="shared" si="3"/>
        <v>#VALUE!</v>
      </c>
      <c r="L14" s="29" t="s">
        <v>14</v>
      </c>
      <c r="N14" s="418" t="s">
        <v>98</v>
      </c>
    </row>
    <row r="15" spans="1:14" ht="27.95">
      <c r="A15" s="859">
        <v>2</v>
      </c>
      <c r="B15" s="70" t="s">
        <v>96</v>
      </c>
      <c r="C15" s="30">
        <v>336</v>
      </c>
      <c r="D15" s="30">
        <v>80.52</v>
      </c>
      <c r="E15" s="683">
        <v>26.2</v>
      </c>
      <c r="F15" s="788">
        <f t="shared" ref="F15" si="8">D15*E15</f>
        <v>2109.6239999999998</v>
      </c>
      <c r="G15" s="779" t="s">
        <v>21</v>
      </c>
      <c r="H15" s="768">
        <v>27.6</v>
      </c>
      <c r="I15" s="789" t="e">
        <f t="shared" si="1"/>
        <v>#VALUE!</v>
      </c>
      <c r="J15" s="1030" t="e">
        <f>I15/F15-1</f>
        <v>#VALUE!</v>
      </c>
      <c r="K15" s="1046" t="e">
        <f t="shared" si="3"/>
        <v>#VALUE!</v>
      </c>
      <c r="L15" s="29" t="s">
        <v>14</v>
      </c>
    </row>
    <row r="16" spans="1:14" ht="76.349999999999994" customHeight="1">
      <c r="A16" s="858">
        <v>1</v>
      </c>
      <c r="B16" s="579" t="s">
        <v>427</v>
      </c>
      <c r="C16" s="35">
        <v>336</v>
      </c>
      <c r="D16" s="35">
        <v>56.4</v>
      </c>
      <c r="E16" s="586">
        <v>13.8</v>
      </c>
      <c r="F16" s="737">
        <f t="shared" si="0"/>
        <v>778.32</v>
      </c>
      <c r="G16" s="776">
        <v>17.510000000000002</v>
      </c>
      <c r="H16" s="765">
        <f>D16</f>
        <v>56.4</v>
      </c>
      <c r="I16" s="714">
        <f t="shared" si="1"/>
        <v>987.56400000000008</v>
      </c>
      <c r="J16" s="1028">
        <f>I16/F16-1</f>
        <v>0.26884057971014497</v>
      </c>
      <c r="K16" s="1044">
        <f t="shared" si="3"/>
        <v>426.33043478260873</v>
      </c>
      <c r="L16" s="34" t="s">
        <v>14</v>
      </c>
      <c r="M16" s="586"/>
      <c r="N16" s="462" t="s">
        <v>428</v>
      </c>
    </row>
    <row r="17" spans="1:15" s="238" customFormat="1" ht="57.75" customHeight="1">
      <c r="A17" s="858">
        <v>2</v>
      </c>
      <c r="B17" s="579" t="s">
        <v>429</v>
      </c>
      <c r="C17" s="35">
        <v>336</v>
      </c>
      <c r="D17" s="35">
        <v>56.4</v>
      </c>
      <c r="E17" s="586">
        <v>13.8</v>
      </c>
      <c r="F17" s="737">
        <f t="shared" si="0"/>
        <v>778.32</v>
      </c>
      <c r="G17" s="776">
        <v>17.510000000000002</v>
      </c>
      <c r="H17" s="765">
        <v>40</v>
      </c>
      <c r="I17" s="714">
        <f t="shared" si="1"/>
        <v>700.40000000000009</v>
      </c>
      <c r="J17" s="1028">
        <f>I17/F17-1</f>
        <v>-0.10011306403535813</v>
      </c>
      <c r="K17" s="1044">
        <f t="shared" si="3"/>
        <v>302.36201048411965</v>
      </c>
      <c r="L17" s="34"/>
      <c r="M17" s="586"/>
      <c r="N17" s="462" t="s">
        <v>430</v>
      </c>
      <c r="O17" s="30"/>
    </row>
    <row r="18" spans="1:15" s="238" customFormat="1" ht="38.1" customHeight="1">
      <c r="A18" s="860">
        <v>1</v>
      </c>
      <c r="B18" s="156"/>
      <c r="C18" s="212">
        <v>1362</v>
      </c>
      <c r="D18" s="212">
        <v>51.2</v>
      </c>
      <c r="E18" s="852">
        <v>502</v>
      </c>
      <c r="F18" s="788">
        <f t="shared" si="0"/>
        <v>25702.400000000001</v>
      </c>
      <c r="G18" s="779">
        <v>1100</v>
      </c>
      <c r="H18" s="768">
        <f>D18</f>
        <v>51.2</v>
      </c>
      <c r="I18" s="789">
        <f t="shared" si="1"/>
        <v>56320</v>
      </c>
      <c r="J18" s="1030">
        <f>I18/F18-1</f>
        <v>1.191235059760956</v>
      </c>
      <c r="K18" s="1046">
        <f t="shared" si="3"/>
        <v>2984.4621513944221</v>
      </c>
      <c r="L18" s="29" t="s">
        <v>101</v>
      </c>
      <c r="M18" s="683"/>
      <c r="N18" s="414"/>
      <c r="O18" s="30"/>
    </row>
    <row r="19" spans="1:15" ht="51.75" customHeight="1">
      <c r="A19" s="855">
        <v>2</v>
      </c>
      <c r="B19" s="69" t="s">
        <v>102</v>
      </c>
      <c r="F19" s="788">
        <f t="shared" si="0"/>
        <v>0</v>
      </c>
      <c r="I19" s="789">
        <f t="shared" si="1"/>
        <v>0</v>
      </c>
      <c r="J19" s="1030">
        <v>0</v>
      </c>
      <c r="K19" s="1046"/>
    </row>
    <row r="20" spans="1:15" ht="29.1" customHeight="1">
      <c r="A20" s="861">
        <v>1</v>
      </c>
      <c r="B20" s="241" t="s">
        <v>103</v>
      </c>
      <c r="C20" s="246">
        <v>44.5</v>
      </c>
      <c r="D20" s="246">
        <v>26.9</v>
      </c>
      <c r="E20" s="818">
        <v>4.9800000000000004</v>
      </c>
      <c r="F20" s="815">
        <f t="shared" si="0"/>
        <v>133.96200000000002</v>
      </c>
      <c r="G20" s="816">
        <v>6</v>
      </c>
      <c r="H20" s="817">
        <f>D20</f>
        <v>26.9</v>
      </c>
      <c r="I20" s="813">
        <f t="shared" si="1"/>
        <v>161.39999999999998</v>
      </c>
      <c r="J20" s="1031">
        <f t="shared" ref="J20:J31" si="9">I20/F20-1</f>
        <v>0.2048192771084334</v>
      </c>
      <c r="K20" s="1047">
        <f t="shared" ref="K20:K31" si="10">C20*(1+J20)</f>
        <v>53.614457831325289</v>
      </c>
      <c r="L20" s="245" t="s">
        <v>14</v>
      </c>
      <c r="M20" s="818" t="s">
        <v>104</v>
      </c>
    </row>
    <row r="21" spans="1:15" ht="55.35" customHeight="1">
      <c r="A21" s="862">
        <v>2</v>
      </c>
      <c r="B21" s="241" t="s">
        <v>103</v>
      </c>
      <c r="C21" s="246">
        <v>44.5</v>
      </c>
      <c r="D21" s="246">
        <v>26.9</v>
      </c>
      <c r="E21" s="818">
        <v>4.9800000000000004</v>
      </c>
      <c r="F21" s="815">
        <f t="shared" si="0"/>
        <v>133.96200000000002</v>
      </c>
      <c r="G21" s="816">
        <v>6</v>
      </c>
      <c r="H21" s="817">
        <v>23.9</v>
      </c>
      <c r="I21" s="813">
        <f t="shared" si="1"/>
        <v>143.39999999999998</v>
      </c>
      <c r="J21" s="1031">
        <f t="shared" si="9"/>
        <v>7.0452814977381317E-2</v>
      </c>
      <c r="K21" s="1047">
        <f t="shared" si="10"/>
        <v>47.635150266493469</v>
      </c>
      <c r="L21" s="245" t="s">
        <v>14</v>
      </c>
      <c r="M21" s="818"/>
    </row>
    <row r="22" spans="1:15" s="545" customFormat="1" ht="55.35" customHeight="1">
      <c r="A22" s="856">
        <v>1</v>
      </c>
      <c r="B22" s="541" t="s">
        <v>431</v>
      </c>
      <c r="C22" s="540">
        <v>114</v>
      </c>
      <c r="D22" s="540">
        <v>19.8</v>
      </c>
      <c r="E22" s="595">
        <v>38.799999999999997</v>
      </c>
      <c r="F22" s="746">
        <f t="shared" si="0"/>
        <v>768.24</v>
      </c>
      <c r="G22" s="1383">
        <v>43</v>
      </c>
      <c r="H22" s="1383">
        <v>25</v>
      </c>
      <c r="I22" s="714">
        <f t="shared" si="1"/>
        <v>1075</v>
      </c>
      <c r="J22" s="1028">
        <f t="shared" si="9"/>
        <v>0.39930230136415701</v>
      </c>
      <c r="K22" s="1044">
        <f t="shared" si="10"/>
        <v>159.5204623555139</v>
      </c>
      <c r="L22" s="1382"/>
      <c r="M22" s="1381"/>
      <c r="N22" s="580" t="s">
        <v>432</v>
      </c>
    </row>
    <row r="23" spans="1:15" s="545" customFormat="1" ht="55.35" customHeight="1">
      <c r="A23" s="856">
        <v>2</v>
      </c>
      <c r="B23" s="541" t="s">
        <v>431</v>
      </c>
      <c r="C23" s="540">
        <v>114</v>
      </c>
      <c r="D23" s="540">
        <v>19.8</v>
      </c>
      <c r="E23" s="595">
        <v>38.799999999999997</v>
      </c>
      <c r="F23" s="746">
        <f t="shared" si="0"/>
        <v>768.24</v>
      </c>
      <c r="G23" s="1383">
        <v>45</v>
      </c>
      <c r="H23" s="1383">
        <v>25</v>
      </c>
      <c r="I23" s="714">
        <f t="shared" si="1"/>
        <v>1125</v>
      </c>
      <c r="J23" s="1028">
        <f t="shared" si="9"/>
        <v>0.46438612933458301</v>
      </c>
      <c r="K23" s="1044">
        <f t="shared" si="10"/>
        <v>166.94001874414246</v>
      </c>
      <c r="L23" s="1382"/>
      <c r="M23" s="1381"/>
      <c r="N23" s="580"/>
    </row>
    <row r="24" spans="1:15" s="56" customFormat="1" ht="55.35" customHeight="1">
      <c r="A24" s="866">
        <v>1</v>
      </c>
      <c r="B24" s="1202" t="s">
        <v>433</v>
      </c>
      <c r="C24" s="1205">
        <v>132</v>
      </c>
      <c r="D24" s="1205">
        <v>34.35</v>
      </c>
      <c r="E24" s="1206">
        <v>29.4</v>
      </c>
      <c r="F24" s="1207">
        <f t="shared" ref="F24" si="11">D24*E24</f>
        <v>1009.89</v>
      </c>
      <c r="G24" s="778">
        <v>40</v>
      </c>
      <c r="H24" s="767">
        <v>25</v>
      </c>
      <c r="I24" s="720">
        <f t="shared" ref="I24" si="12">G24*H24</f>
        <v>1000</v>
      </c>
      <c r="J24" s="1027">
        <f t="shared" ref="J24" si="13">I24/F24-1</f>
        <v>-9.7931457881551554E-3</v>
      </c>
      <c r="K24" s="1043">
        <f t="shared" ref="K24" si="14">C24*(1+J24)</f>
        <v>130.70730475596352</v>
      </c>
      <c r="L24" s="1204"/>
      <c r="M24" s="1203"/>
      <c r="N24" s="432" t="s">
        <v>434</v>
      </c>
    </row>
    <row r="25" spans="1:15" s="56" customFormat="1" ht="55.35" customHeight="1">
      <c r="A25" s="866">
        <v>2</v>
      </c>
      <c r="B25" s="1202" t="s">
        <v>433</v>
      </c>
      <c r="C25" s="1205">
        <v>132</v>
      </c>
      <c r="D25" s="1205">
        <v>34.35</v>
      </c>
      <c r="E25" s="1206">
        <v>29.4</v>
      </c>
      <c r="F25" s="1207">
        <f t="shared" ref="F25" si="15">D25*E25</f>
        <v>1009.89</v>
      </c>
      <c r="G25" s="778">
        <v>40</v>
      </c>
      <c r="H25" s="767">
        <v>30</v>
      </c>
      <c r="I25" s="720">
        <f t="shared" ref="I25" si="16">G25*H25</f>
        <v>1200</v>
      </c>
      <c r="J25" s="1027">
        <f t="shared" ref="J25" si="17">I25/F25-1</f>
        <v>0.1882482250542139</v>
      </c>
      <c r="K25" s="1043">
        <f t="shared" ref="K25" si="18">C25*(1+J25)</f>
        <v>156.84876570715625</v>
      </c>
      <c r="L25" s="1204"/>
      <c r="M25" s="1203"/>
      <c r="N25" s="432"/>
    </row>
    <row r="26" spans="1:15" ht="80.25" customHeight="1">
      <c r="A26" s="863">
        <v>1</v>
      </c>
      <c r="B26" s="541" t="s">
        <v>254</v>
      </c>
      <c r="C26" s="540">
        <v>950</v>
      </c>
      <c r="D26" s="540">
        <v>47.5</v>
      </c>
      <c r="E26" s="595">
        <v>21.1</v>
      </c>
      <c r="F26" s="746">
        <f t="shared" si="0"/>
        <v>1002.2500000000001</v>
      </c>
      <c r="G26" s="778">
        <v>40</v>
      </c>
      <c r="H26" s="767">
        <v>40</v>
      </c>
      <c r="I26" s="714">
        <f t="shared" si="1"/>
        <v>1600</v>
      </c>
      <c r="J26" s="1028">
        <f t="shared" si="9"/>
        <v>0.59640808181591409</v>
      </c>
      <c r="K26" s="1044">
        <f t="shared" si="10"/>
        <v>1516.5876777251183</v>
      </c>
      <c r="L26" s="541" t="s">
        <v>14</v>
      </c>
      <c r="M26" s="595"/>
      <c r="N26" s="544" t="s">
        <v>435</v>
      </c>
      <c r="O26" s="462" t="s">
        <v>436</v>
      </c>
    </row>
    <row r="27" spans="1:15" ht="98.1">
      <c r="A27" s="863">
        <v>2</v>
      </c>
      <c r="B27" s="541" t="s">
        <v>115</v>
      </c>
      <c r="C27" s="540">
        <v>950</v>
      </c>
      <c r="D27" s="540">
        <v>47.5</v>
      </c>
      <c r="E27" s="595">
        <v>21.1</v>
      </c>
      <c r="F27" s="746">
        <f t="shared" si="0"/>
        <v>1002.2500000000001</v>
      </c>
      <c r="G27" s="778">
        <v>35</v>
      </c>
      <c r="H27" s="767">
        <v>45</v>
      </c>
      <c r="I27" s="714">
        <f t="shared" si="1"/>
        <v>1575</v>
      </c>
      <c r="J27" s="1028">
        <f t="shared" si="9"/>
        <v>0.57146420553754029</v>
      </c>
      <c r="K27" s="1044">
        <f t="shared" si="10"/>
        <v>1492.8909952606632</v>
      </c>
      <c r="L27" s="541" t="s">
        <v>14</v>
      </c>
      <c r="M27" s="595"/>
      <c r="N27" s="544" t="s">
        <v>256</v>
      </c>
      <c r="O27" s="462" t="s">
        <v>437</v>
      </c>
    </row>
    <row r="28" spans="1:15" ht="69.95">
      <c r="A28" s="1071">
        <v>1</v>
      </c>
      <c r="B28" s="1022" t="s">
        <v>117</v>
      </c>
      <c r="C28" s="1072">
        <v>193</v>
      </c>
      <c r="D28" s="1072">
        <v>38.6</v>
      </c>
      <c r="E28" s="1073">
        <v>11.3</v>
      </c>
      <c r="F28" s="1074">
        <f t="shared" si="0"/>
        <v>436.18000000000006</v>
      </c>
      <c r="G28" s="1075">
        <v>12</v>
      </c>
      <c r="H28" s="1076">
        <v>30</v>
      </c>
      <c r="I28" s="1077">
        <f t="shared" si="1"/>
        <v>360</v>
      </c>
      <c r="J28" s="1028">
        <f t="shared" si="9"/>
        <v>-0.17465266633041421</v>
      </c>
      <c r="K28" s="1044">
        <f t="shared" si="10"/>
        <v>159.29203539823007</v>
      </c>
      <c r="L28" s="1022" t="s">
        <v>438</v>
      </c>
      <c r="M28" s="1073"/>
      <c r="N28" s="1078" t="s">
        <v>439</v>
      </c>
    </row>
    <row r="29" spans="1:15" ht="42" customHeight="1">
      <c r="A29" s="1071">
        <v>2</v>
      </c>
      <c r="B29" s="1022" t="s">
        <v>117</v>
      </c>
      <c r="C29" s="1072">
        <v>193</v>
      </c>
      <c r="D29" s="1072">
        <v>38.6</v>
      </c>
      <c r="E29" s="1073">
        <v>11.3</v>
      </c>
      <c r="F29" s="1074">
        <f t="shared" si="0"/>
        <v>436.18000000000006</v>
      </c>
      <c r="G29" s="1075">
        <v>12</v>
      </c>
      <c r="H29" s="1076">
        <v>33</v>
      </c>
      <c r="I29" s="1077">
        <f t="shared" si="1"/>
        <v>396</v>
      </c>
      <c r="J29" s="1028">
        <f t="shared" si="9"/>
        <v>-9.2117932963455607E-2</v>
      </c>
      <c r="K29" s="1044">
        <f t="shared" si="10"/>
        <v>175.22123893805306</v>
      </c>
      <c r="L29" s="1072"/>
      <c r="M29" s="1073"/>
      <c r="N29" s="1078"/>
    </row>
    <row r="30" spans="1:15" s="56" customFormat="1" ht="46.5">
      <c r="A30" s="865">
        <v>1</v>
      </c>
      <c r="B30" s="914" t="s">
        <v>257</v>
      </c>
      <c r="C30" s="915">
        <v>286</v>
      </c>
      <c r="D30" s="915">
        <v>34.799999999999997</v>
      </c>
      <c r="E30" s="918">
        <v>8.57</v>
      </c>
      <c r="F30" s="916">
        <f t="shared" si="0"/>
        <v>298.23599999999999</v>
      </c>
      <c r="G30" s="781">
        <v>12</v>
      </c>
      <c r="H30" s="770">
        <v>34</v>
      </c>
      <c r="I30" s="917">
        <f t="shared" si="1"/>
        <v>408</v>
      </c>
      <c r="J30" s="1069">
        <f t="shared" si="9"/>
        <v>0.36804409930390691</v>
      </c>
      <c r="K30" s="1065">
        <f t="shared" si="10"/>
        <v>391.26061240091735</v>
      </c>
      <c r="L30" s="915"/>
      <c r="M30" s="918"/>
      <c r="N30" s="919" t="s">
        <v>258</v>
      </c>
    </row>
    <row r="31" spans="1:15" s="56" customFormat="1" ht="108.6">
      <c r="A31" s="865">
        <v>2</v>
      </c>
      <c r="B31" s="914" t="s">
        <v>134</v>
      </c>
      <c r="C31" s="915">
        <v>286</v>
      </c>
      <c r="D31" s="915">
        <v>34.200000000000003</v>
      </c>
      <c r="E31" s="918">
        <v>8.57</v>
      </c>
      <c r="F31" s="916">
        <f t="shared" si="0"/>
        <v>293.09400000000005</v>
      </c>
      <c r="G31" s="781">
        <v>12</v>
      </c>
      <c r="H31" s="770">
        <v>30</v>
      </c>
      <c r="I31" s="917">
        <f t="shared" si="1"/>
        <v>360</v>
      </c>
      <c r="J31" s="1069">
        <f t="shared" si="9"/>
        <v>0.22827488791991635</v>
      </c>
      <c r="K31" s="1065">
        <f t="shared" si="10"/>
        <v>351.28661794509605</v>
      </c>
      <c r="L31" s="915"/>
      <c r="M31" s="918"/>
      <c r="N31" s="919" t="s">
        <v>440</v>
      </c>
    </row>
    <row r="32" spans="1:15" s="56" customFormat="1" ht="51" customHeight="1">
      <c r="A32" s="865">
        <v>1</v>
      </c>
      <c r="B32" s="914" t="s">
        <v>261</v>
      </c>
      <c r="C32" s="915">
        <v>303</v>
      </c>
      <c r="D32" s="915">
        <v>28.5</v>
      </c>
      <c r="E32" s="918">
        <v>24</v>
      </c>
      <c r="F32" s="916">
        <f t="shared" ref="F32" si="19">D32*E32</f>
        <v>684</v>
      </c>
      <c r="G32" s="781">
        <v>30</v>
      </c>
      <c r="H32" s="770">
        <v>35</v>
      </c>
      <c r="I32" s="917">
        <f t="shared" ref="I32" si="20">G32*H32</f>
        <v>1050</v>
      </c>
      <c r="J32" s="1069">
        <f t="shared" ref="J32" si="21">I32/F32-1</f>
        <v>0.53508771929824572</v>
      </c>
      <c r="K32" s="1065">
        <f t="shared" ref="K32" si="22">C32*(1+J32)</f>
        <v>465.13157894736844</v>
      </c>
      <c r="L32" s="915"/>
      <c r="M32" s="918"/>
      <c r="N32" s="1214" t="s">
        <v>262</v>
      </c>
    </row>
    <row r="33" spans="1:15" s="56" customFormat="1" ht="93">
      <c r="A33" s="865">
        <v>2</v>
      </c>
      <c r="B33" s="914" t="s">
        <v>261</v>
      </c>
      <c r="C33" s="915">
        <v>303</v>
      </c>
      <c r="D33" s="915">
        <v>28.5</v>
      </c>
      <c r="E33" s="918">
        <v>24</v>
      </c>
      <c r="F33" s="916">
        <f t="shared" ref="F33" si="23">D33*E33</f>
        <v>684</v>
      </c>
      <c r="G33" s="781">
        <v>28</v>
      </c>
      <c r="H33" s="770">
        <v>28</v>
      </c>
      <c r="I33" s="917">
        <f t="shared" ref="I33" si="24">G33*H33</f>
        <v>784</v>
      </c>
      <c r="J33" s="1069">
        <f t="shared" ref="J33" si="25">I33/F33-1</f>
        <v>0.14619883040935666</v>
      </c>
      <c r="K33" s="1065">
        <f t="shared" ref="K33" si="26">C33*(1+J33)</f>
        <v>347.29824561403507</v>
      </c>
      <c r="L33" s="915" t="s">
        <v>441</v>
      </c>
      <c r="M33" s="918"/>
      <c r="N33" s="919" t="s">
        <v>442</v>
      </c>
    </row>
    <row r="34" spans="1:15" s="545" customFormat="1" ht="74.099999999999994" customHeight="1">
      <c r="A34" s="858">
        <v>1</v>
      </c>
      <c r="B34" s="583" t="s">
        <v>267</v>
      </c>
      <c r="C34" s="823">
        <v>496</v>
      </c>
      <c r="D34" s="823">
        <v>37.32</v>
      </c>
      <c r="E34" s="602">
        <v>9.58</v>
      </c>
      <c r="F34" s="824">
        <f t="shared" ref="F34" si="27">D34*E34</f>
        <v>357.5256</v>
      </c>
      <c r="G34" s="825">
        <v>20</v>
      </c>
      <c r="H34" s="826">
        <v>30</v>
      </c>
      <c r="I34" s="827">
        <f t="shared" ref="I34" si="28">G34*H34</f>
        <v>600</v>
      </c>
      <c r="J34" s="1053">
        <f t="shared" ref="J34" si="29">I34/F34-1</f>
        <v>0.67820150501110965</v>
      </c>
      <c r="K34" s="1060">
        <f t="shared" ref="K34" si="30">C34*(1+J34)</f>
        <v>832.38794648551038</v>
      </c>
      <c r="L34" s="34"/>
      <c r="M34" s="586"/>
      <c r="N34" s="579" t="s">
        <v>443</v>
      </c>
    </row>
    <row r="35" spans="1:15" ht="215.25" customHeight="1">
      <c r="A35" s="858">
        <v>2</v>
      </c>
      <c r="B35" s="583" t="s">
        <v>269</v>
      </c>
      <c r="C35" s="823">
        <v>496</v>
      </c>
      <c r="D35" s="823">
        <v>37.32</v>
      </c>
      <c r="E35" s="602">
        <v>9.58</v>
      </c>
      <c r="F35" s="824">
        <f t="shared" ref="F35" si="31">D35*E35</f>
        <v>357.5256</v>
      </c>
      <c r="G35" s="825">
        <v>20</v>
      </c>
      <c r="H35" s="826">
        <v>25</v>
      </c>
      <c r="I35" s="827">
        <f t="shared" ref="I35" si="32">G35*H35</f>
        <v>500</v>
      </c>
      <c r="J35" s="1053">
        <f t="shared" ref="J35" si="33">I35/F35-1</f>
        <v>0.39850125417592475</v>
      </c>
      <c r="K35" s="1060">
        <f t="shared" ref="K35" si="34">C35*(1+J35)</f>
        <v>693.65662207125865</v>
      </c>
      <c r="L35" s="34"/>
      <c r="M35" s="586"/>
      <c r="N35" s="1420" t="s">
        <v>444</v>
      </c>
    </row>
    <row r="36" spans="1:15" ht="139.35" customHeight="1">
      <c r="A36" s="864">
        <v>1</v>
      </c>
      <c r="B36" s="176" t="s">
        <v>147</v>
      </c>
      <c r="C36" s="179">
        <v>358</v>
      </c>
      <c r="D36" s="179">
        <v>32.6</v>
      </c>
      <c r="E36" s="596">
        <v>13.2</v>
      </c>
      <c r="F36" s="749">
        <f t="shared" ref="F36:F47" si="35">D36*E36</f>
        <v>430.32</v>
      </c>
      <c r="G36" s="776">
        <v>17</v>
      </c>
      <c r="H36" s="765">
        <v>35</v>
      </c>
      <c r="I36" s="725">
        <f t="shared" ref="I36:I47" si="36">G36*H36</f>
        <v>595</v>
      </c>
      <c r="J36" s="1029">
        <f>I36/F36-1</f>
        <v>0.38269195017661284</v>
      </c>
      <c r="K36" s="1045">
        <f>C36*(1+J36)</f>
        <v>495.0037181632274</v>
      </c>
      <c r="L36" s="179"/>
      <c r="M36" s="596"/>
      <c r="N36" s="560" t="s">
        <v>445</v>
      </c>
    </row>
    <row r="37" spans="1:15" ht="155.85" customHeight="1">
      <c r="A37" s="864">
        <v>2</v>
      </c>
      <c r="B37" s="176" t="s">
        <v>147</v>
      </c>
      <c r="C37" s="179">
        <v>358</v>
      </c>
      <c r="D37" s="179">
        <v>32.6</v>
      </c>
      <c r="E37" s="596">
        <v>13.2</v>
      </c>
      <c r="F37" s="749">
        <f t="shared" si="35"/>
        <v>430.32</v>
      </c>
      <c r="G37" s="776">
        <v>20</v>
      </c>
      <c r="H37" s="765">
        <v>30</v>
      </c>
      <c r="I37" s="725">
        <f t="shared" si="36"/>
        <v>600</v>
      </c>
      <c r="J37" s="1029">
        <f>I37/F37-1</f>
        <v>0.39431121026213045</v>
      </c>
      <c r="K37" s="1045">
        <f>C37*(1+J37)</f>
        <v>499.16341327384271</v>
      </c>
      <c r="L37" s="176" t="s">
        <v>48</v>
      </c>
      <c r="M37" s="596">
        <v>1.86</v>
      </c>
      <c r="N37" s="560" t="s">
        <v>446</v>
      </c>
    </row>
    <row r="38" spans="1:15" ht="72.75" customHeight="1">
      <c r="A38" s="865">
        <v>1</v>
      </c>
      <c r="B38" s="76" t="s">
        <v>150</v>
      </c>
      <c r="C38" s="75">
        <v>675</v>
      </c>
      <c r="D38" s="75">
        <v>94</v>
      </c>
      <c r="E38" s="587">
        <v>13</v>
      </c>
      <c r="F38" s="743">
        <f t="shared" si="35"/>
        <v>1222</v>
      </c>
      <c r="G38" s="776">
        <v>17</v>
      </c>
      <c r="H38" s="765">
        <v>90</v>
      </c>
      <c r="I38" s="720">
        <f t="shared" si="36"/>
        <v>1530</v>
      </c>
      <c r="J38" s="1027">
        <f>I38/F38-1</f>
        <v>0.25204582651391161</v>
      </c>
      <c r="K38" s="1043">
        <f>C38*(1+J38)</f>
        <v>845.13093289689039</v>
      </c>
      <c r="L38" s="75"/>
      <c r="M38" s="587"/>
      <c r="N38" s="372" t="s">
        <v>447</v>
      </c>
    </row>
    <row r="39" spans="1:15" s="545" customFormat="1" ht="56.1" customHeight="1">
      <c r="A39" s="865">
        <v>2</v>
      </c>
      <c r="B39" s="76" t="s">
        <v>150</v>
      </c>
      <c r="C39" s="75">
        <v>681</v>
      </c>
      <c r="D39" s="75">
        <v>95.3</v>
      </c>
      <c r="E39" s="587">
        <v>13</v>
      </c>
      <c r="F39" s="743">
        <f t="shared" si="35"/>
        <v>1238.8999999999999</v>
      </c>
      <c r="G39" s="776">
        <v>17</v>
      </c>
      <c r="H39" s="765">
        <v>75</v>
      </c>
      <c r="I39" s="720">
        <f t="shared" si="36"/>
        <v>1275</v>
      </c>
      <c r="J39" s="1027">
        <f>I39/F39-1</f>
        <v>2.9138752118815114E-2</v>
      </c>
      <c r="K39" s="1043">
        <f>C39*(1+J39)</f>
        <v>700.84349019291312</v>
      </c>
      <c r="L39" s="557"/>
      <c r="M39" s="587"/>
      <c r="N39" s="372" t="s">
        <v>448</v>
      </c>
      <c r="O39" s="30"/>
    </row>
    <row r="40" spans="1:15" s="545" customFormat="1" ht="56.1">
      <c r="A40" s="855">
        <v>1</v>
      </c>
      <c r="B40" s="69" t="s">
        <v>156</v>
      </c>
      <c r="C40" s="30">
        <v>50.3</v>
      </c>
      <c r="D40" s="30">
        <v>59.4</v>
      </c>
      <c r="E40" s="683">
        <v>5.13</v>
      </c>
      <c r="F40" s="788">
        <f t="shared" si="35"/>
        <v>304.72199999999998</v>
      </c>
      <c r="G40" s="779">
        <v>4.16</v>
      </c>
      <c r="H40" s="768">
        <f>D40</f>
        <v>59.4</v>
      </c>
      <c r="I40" s="789">
        <f t="shared" si="36"/>
        <v>247.10400000000001</v>
      </c>
      <c r="J40" s="1030">
        <f>I40/F40-1</f>
        <v>-0.18908382066276797</v>
      </c>
      <c r="K40" s="1046">
        <f>C40*(1+J40)</f>
        <v>40.789083820662768</v>
      </c>
      <c r="L40" s="29" t="s">
        <v>157</v>
      </c>
      <c r="M40" s="683"/>
      <c r="N40" s="414"/>
      <c r="O40" s="30"/>
    </row>
    <row r="41" spans="1:15" ht="123" customHeight="1">
      <c r="A41" s="855">
        <v>2</v>
      </c>
      <c r="B41" s="69" t="s">
        <v>156</v>
      </c>
      <c r="F41" s="788">
        <f t="shared" si="35"/>
        <v>0</v>
      </c>
      <c r="I41" s="789">
        <f t="shared" si="36"/>
        <v>0</v>
      </c>
      <c r="J41" s="1030">
        <v>0</v>
      </c>
      <c r="K41" s="1046"/>
    </row>
    <row r="42" spans="1:15" s="545" customFormat="1" ht="175.5" customHeight="1">
      <c r="A42" s="858">
        <v>1</v>
      </c>
      <c r="B42" s="34" t="s">
        <v>449</v>
      </c>
      <c r="C42" s="35">
        <v>324</v>
      </c>
      <c r="D42" s="35">
        <v>29.5</v>
      </c>
      <c r="E42" s="586">
        <v>20.7</v>
      </c>
      <c r="F42" s="737">
        <f t="shared" ref="F42" si="37">D42*E42</f>
        <v>610.65</v>
      </c>
      <c r="G42" s="776">
        <v>28</v>
      </c>
      <c r="H42" s="765">
        <v>30</v>
      </c>
      <c r="I42" s="714">
        <f t="shared" ref="I42" si="38">G42*H42</f>
        <v>840</v>
      </c>
      <c r="J42" s="1028">
        <f t="shared" ref="J42:J47" si="39">I42/F42-1</f>
        <v>0.37558339474330626</v>
      </c>
      <c r="K42" s="1044">
        <f t="shared" ref="K42:K47" si="40">C42*(1+J42)</f>
        <v>445.68901989683121</v>
      </c>
      <c r="M42" s="656"/>
      <c r="N42" s="580" t="s">
        <v>450</v>
      </c>
      <c r="O42" s="580" t="s">
        <v>451</v>
      </c>
    </row>
    <row r="43" spans="1:15" s="545" customFormat="1" ht="120.75" customHeight="1">
      <c r="A43" s="858">
        <v>2</v>
      </c>
      <c r="B43" s="34" t="s">
        <v>449</v>
      </c>
      <c r="C43" s="35">
        <v>324</v>
      </c>
      <c r="D43" s="35">
        <v>29.5</v>
      </c>
      <c r="E43" s="586">
        <v>20.7</v>
      </c>
      <c r="F43" s="737">
        <f t="shared" ref="F43" si="41">D43*E43</f>
        <v>610.65</v>
      </c>
      <c r="G43" s="776">
        <v>29</v>
      </c>
      <c r="H43" s="765">
        <v>25</v>
      </c>
      <c r="I43" s="714">
        <f t="shared" ref="I43" si="42">G43*H43</f>
        <v>725</v>
      </c>
      <c r="J43" s="1028">
        <f t="shared" si="39"/>
        <v>0.18725947760582984</v>
      </c>
      <c r="K43" s="1044">
        <f t="shared" si="40"/>
        <v>384.67207074428887</v>
      </c>
      <c r="M43" s="656"/>
      <c r="N43" s="580" t="s">
        <v>452</v>
      </c>
      <c r="O43" s="580" t="s">
        <v>453</v>
      </c>
    </row>
    <row r="44" spans="1:15" ht="42">
      <c r="A44" s="855">
        <v>1</v>
      </c>
      <c r="B44" s="69" t="s">
        <v>170</v>
      </c>
      <c r="C44" s="30">
        <v>183</v>
      </c>
      <c r="D44" s="30">
        <v>23</v>
      </c>
      <c r="E44" s="683">
        <v>29.3</v>
      </c>
      <c r="F44" s="788">
        <f t="shared" si="35"/>
        <v>673.9</v>
      </c>
      <c r="G44" s="779">
        <v>35</v>
      </c>
      <c r="H44" s="768">
        <v>20</v>
      </c>
      <c r="I44" s="789">
        <f t="shared" si="36"/>
        <v>700</v>
      </c>
      <c r="J44" s="1030">
        <f t="shared" si="39"/>
        <v>3.8729781866745805E-2</v>
      </c>
      <c r="K44" s="1046">
        <f t="shared" si="40"/>
        <v>190.08755008161449</v>
      </c>
      <c r="L44" s="29" t="s">
        <v>47</v>
      </c>
      <c r="M44" s="683">
        <v>0.22</v>
      </c>
      <c r="N44" s="414" t="s">
        <v>454</v>
      </c>
    </row>
    <row r="45" spans="1:15" ht="27.95">
      <c r="A45" s="855">
        <v>2</v>
      </c>
      <c r="B45" s="69" t="s">
        <v>170</v>
      </c>
      <c r="C45" s="30">
        <v>182</v>
      </c>
      <c r="D45" s="30">
        <v>22.9</v>
      </c>
      <c r="E45" s="683">
        <v>29.3</v>
      </c>
      <c r="F45" s="788">
        <f t="shared" si="35"/>
        <v>670.97</v>
      </c>
      <c r="G45" s="779">
        <v>36</v>
      </c>
      <c r="H45" s="768">
        <v>28</v>
      </c>
      <c r="I45" s="789">
        <f t="shared" si="36"/>
        <v>1008</v>
      </c>
      <c r="J45" s="1030">
        <f t="shared" si="39"/>
        <v>0.50230263648151174</v>
      </c>
      <c r="K45" s="1046">
        <f t="shared" si="40"/>
        <v>273.41907983963512</v>
      </c>
      <c r="L45" s="29" t="s">
        <v>47</v>
      </c>
      <c r="M45" s="683">
        <v>0.17</v>
      </c>
      <c r="N45" s="414" t="s">
        <v>455</v>
      </c>
    </row>
    <row r="46" spans="1:15" ht="65.849999999999994" customHeight="1">
      <c r="A46" s="865">
        <v>1</v>
      </c>
      <c r="B46" s="74" t="s">
        <v>288</v>
      </c>
      <c r="C46" s="56">
        <v>113.9</v>
      </c>
      <c r="D46" s="56">
        <v>22.75</v>
      </c>
      <c r="E46" s="821">
        <v>9</v>
      </c>
      <c r="F46" s="819">
        <f t="shared" si="35"/>
        <v>204.75</v>
      </c>
      <c r="G46" s="779">
        <v>22</v>
      </c>
      <c r="H46" s="768">
        <v>25</v>
      </c>
      <c r="I46" s="820">
        <f t="shared" si="36"/>
        <v>550</v>
      </c>
      <c r="J46" s="1027">
        <f t="shared" si="39"/>
        <v>1.686202686202686</v>
      </c>
      <c r="K46" s="1043">
        <f t="shared" si="40"/>
        <v>305.95848595848594</v>
      </c>
      <c r="L46" s="55"/>
      <c r="M46" s="821"/>
      <c r="N46" s="417" t="s">
        <v>339</v>
      </c>
    </row>
    <row r="47" spans="1:15" s="184" customFormat="1" ht="54.75" customHeight="1">
      <c r="A47" s="865">
        <v>2</v>
      </c>
      <c r="B47" s="74" t="s">
        <v>171</v>
      </c>
      <c r="C47" s="56">
        <v>113.9</v>
      </c>
      <c r="D47" s="56">
        <v>22.75</v>
      </c>
      <c r="E47" s="821">
        <v>9</v>
      </c>
      <c r="F47" s="819">
        <f t="shared" si="35"/>
        <v>204.75</v>
      </c>
      <c r="G47" s="779">
        <v>22</v>
      </c>
      <c r="H47" s="768">
        <v>20</v>
      </c>
      <c r="I47" s="820">
        <f t="shared" si="36"/>
        <v>440</v>
      </c>
      <c r="J47" s="1027">
        <f t="shared" si="39"/>
        <v>1.1489621489621489</v>
      </c>
      <c r="K47" s="1043">
        <f t="shared" si="40"/>
        <v>244.76678876678878</v>
      </c>
      <c r="L47" s="56"/>
      <c r="M47" s="821"/>
      <c r="N47" s="417" t="s">
        <v>340</v>
      </c>
      <c r="O47" s="30"/>
    </row>
    <row r="48" spans="1:15" ht="37.35" customHeight="1">
      <c r="A48" s="865"/>
      <c r="B48" s="74" t="s">
        <v>456</v>
      </c>
      <c r="C48" s="56"/>
      <c r="D48" s="56"/>
      <c r="E48" s="821"/>
      <c r="F48" s="819"/>
      <c r="I48" s="820"/>
      <c r="J48" s="1027"/>
      <c r="K48" s="1043"/>
      <c r="L48" s="56"/>
      <c r="M48" s="821"/>
      <c r="N48" s="417"/>
    </row>
    <row r="49" spans="1:15" ht="27.95">
      <c r="A49" s="865"/>
      <c r="B49" s="74" t="s">
        <v>456</v>
      </c>
      <c r="C49" s="56"/>
      <c r="D49" s="56"/>
      <c r="E49" s="821"/>
      <c r="F49" s="819"/>
      <c r="I49" s="820"/>
      <c r="J49" s="1027"/>
      <c r="K49" s="1043"/>
      <c r="L49" s="56"/>
      <c r="M49" s="821"/>
      <c r="N49" s="417"/>
    </row>
    <row r="50" spans="1:15" ht="42">
      <c r="A50" s="858">
        <v>1</v>
      </c>
      <c r="B50" s="34" t="s">
        <v>175</v>
      </c>
      <c r="C50" s="35">
        <v>253</v>
      </c>
      <c r="D50" s="35">
        <v>30.9</v>
      </c>
      <c r="E50" s="586">
        <v>22</v>
      </c>
      <c r="F50" s="737">
        <f t="shared" ref="F50:F55" si="43">D50*E50</f>
        <v>679.8</v>
      </c>
      <c r="G50" s="776">
        <v>30</v>
      </c>
      <c r="H50" s="765">
        <v>40</v>
      </c>
      <c r="I50" s="714">
        <f t="shared" ref="I50:I55" si="44">G50*H50</f>
        <v>1200</v>
      </c>
      <c r="J50" s="1028">
        <f t="shared" ref="J50:J55" si="45">I50/F50-1</f>
        <v>0.76522506619594011</v>
      </c>
      <c r="K50" s="1044">
        <f t="shared" ref="K50:K55" si="46">C50*(1+J50)</f>
        <v>446.60194174757282</v>
      </c>
      <c r="L50" s="34" t="s">
        <v>14</v>
      </c>
      <c r="M50" s="586">
        <v>0.25</v>
      </c>
      <c r="N50" s="413" t="s">
        <v>457</v>
      </c>
    </row>
    <row r="51" spans="1:15" ht="26.1" customHeight="1">
      <c r="A51" s="858">
        <v>2</v>
      </c>
      <c r="B51" s="34" t="s">
        <v>175</v>
      </c>
      <c r="C51" s="35">
        <v>253</v>
      </c>
      <c r="D51" s="35">
        <v>30.9</v>
      </c>
      <c r="E51" s="586">
        <v>22</v>
      </c>
      <c r="F51" s="737">
        <f t="shared" si="43"/>
        <v>679.8</v>
      </c>
      <c r="G51" s="776">
        <v>30</v>
      </c>
      <c r="H51" s="765">
        <v>35</v>
      </c>
      <c r="I51" s="714">
        <f t="shared" si="44"/>
        <v>1050</v>
      </c>
      <c r="J51" s="1028">
        <f t="shared" si="45"/>
        <v>0.54457193292144757</v>
      </c>
      <c r="K51" s="1044">
        <f t="shared" si="46"/>
        <v>390.77669902912623</v>
      </c>
      <c r="L51" s="34" t="s">
        <v>14</v>
      </c>
      <c r="M51" s="586">
        <v>0.47</v>
      </c>
      <c r="N51" s="462" t="s">
        <v>294</v>
      </c>
    </row>
    <row r="52" spans="1:15" s="56" customFormat="1">
      <c r="A52" s="866"/>
      <c r="B52" s="74" t="s">
        <v>180</v>
      </c>
      <c r="C52" s="75">
        <v>310</v>
      </c>
      <c r="D52" s="56">
        <v>39.5</v>
      </c>
      <c r="E52" s="821">
        <v>39.700000000000003</v>
      </c>
      <c r="F52" s="819">
        <f t="shared" si="43"/>
        <v>1568.15</v>
      </c>
      <c r="G52" s="779">
        <v>45</v>
      </c>
      <c r="H52" s="768">
        <f>D52</f>
        <v>39.5</v>
      </c>
      <c r="I52" s="820">
        <f t="shared" si="44"/>
        <v>1777.5</v>
      </c>
      <c r="J52" s="1027">
        <f t="shared" si="45"/>
        <v>0.13350125944584379</v>
      </c>
      <c r="K52" s="1043">
        <f t="shared" si="46"/>
        <v>351.38539042821156</v>
      </c>
      <c r="L52" s="55" t="s">
        <v>14</v>
      </c>
      <c r="M52" s="598"/>
      <c r="N52" s="432" t="s">
        <v>181</v>
      </c>
    </row>
    <row r="53" spans="1:15" s="56" customFormat="1">
      <c r="A53" s="866"/>
      <c r="B53" s="74" t="s">
        <v>180</v>
      </c>
      <c r="C53" s="75">
        <v>310</v>
      </c>
      <c r="D53" s="56">
        <v>39.5</v>
      </c>
      <c r="E53" s="821">
        <v>39.700000000000003</v>
      </c>
      <c r="F53" s="819">
        <f t="shared" si="43"/>
        <v>1568.15</v>
      </c>
      <c r="G53" s="779">
        <v>45</v>
      </c>
      <c r="H53" s="768">
        <v>35</v>
      </c>
      <c r="I53" s="820">
        <f t="shared" si="44"/>
        <v>1575</v>
      </c>
      <c r="J53" s="1027">
        <f t="shared" si="45"/>
        <v>4.3682045722666096E-3</v>
      </c>
      <c r="K53" s="1043">
        <f t="shared" si="46"/>
        <v>311.35414341740267</v>
      </c>
      <c r="L53" s="55" t="s">
        <v>14</v>
      </c>
      <c r="M53" s="598"/>
      <c r="N53" s="432"/>
    </row>
    <row r="54" spans="1:15" s="545" customFormat="1" ht="29.85" customHeight="1">
      <c r="A54" s="854" t="s">
        <v>182</v>
      </c>
      <c r="B54" s="34" t="s">
        <v>183</v>
      </c>
      <c r="C54" s="34" t="s">
        <v>184</v>
      </c>
      <c r="D54" s="35">
        <v>-56</v>
      </c>
      <c r="E54" s="586">
        <v>-21.1</v>
      </c>
      <c r="F54" s="737">
        <f t="shared" si="43"/>
        <v>1181.6000000000001</v>
      </c>
      <c r="G54" s="776">
        <v>150</v>
      </c>
      <c r="H54" s="765">
        <v>8</v>
      </c>
      <c r="I54" s="714">
        <f t="shared" si="44"/>
        <v>1200</v>
      </c>
      <c r="J54" s="1028">
        <f t="shared" si="45"/>
        <v>1.5572105619498844E-2</v>
      </c>
      <c r="K54" s="1044">
        <f t="shared" si="46"/>
        <v>254.90859851049422</v>
      </c>
      <c r="L54" s="34" t="s">
        <v>14</v>
      </c>
      <c r="M54" s="586"/>
      <c r="N54" s="822" t="s">
        <v>185</v>
      </c>
      <c r="O54" s="30"/>
    </row>
    <row r="55" spans="1:15" s="184" customFormat="1">
      <c r="A55" s="854" t="s">
        <v>186</v>
      </c>
      <c r="B55" s="34" t="s">
        <v>183</v>
      </c>
      <c r="C55" s="34" t="s">
        <v>184</v>
      </c>
      <c r="D55" s="35">
        <v>-56</v>
      </c>
      <c r="E55" s="586">
        <v>-21.1</v>
      </c>
      <c r="F55" s="737">
        <f t="shared" si="43"/>
        <v>1181.6000000000001</v>
      </c>
      <c r="G55" s="776">
        <v>150</v>
      </c>
      <c r="H55" s="765">
        <v>28</v>
      </c>
      <c r="I55" s="714">
        <f t="shared" si="44"/>
        <v>4200</v>
      </c>
      <c r="J55" s="1028">
        <f t="shared" si="45"/>
        <v>2.5545023696682461</v>
      </c>
      <c r="K55" s="1044">
        <f t="shared" si="46"/>
        <v>892.1800947867298</v>
      </c>
      <c r="L55" s="34" t="s">
        <v>14</v>
      </c>
      <c r="M55" s="586"/>
      <c r="N55" s="462" t="s">
        <v>187</v>
      </c>
      <c r="O55" s="30"/>
    </row>
    <row r="56" spans="1:15" s="184" customFormat="1" ht="84">
      <c r="A56" s="854" t="s">
        <v>182</v>
      </c>
      <c r="B56" s="34" t="s">
        <v>188</v>
      </c>
      <c r="C56" s="34"/>
      <c r="D56" s="35"/>
      <c r="E56" s="586"/>
      <c r="F56" s="737"/>
      <c r="G56" s="776"/>
      <c r="H56" s="765"/>
      <c r="I56" s="714"/>
      <c r="J56" s="1028">
        <v>0</v>
      </c>
      <c r="K56" s="1044"/>
      <c r="L56" s="34"/>
      <c r="M56" s="586"/>
      <c r="N56" s="462" t="s">
        <v>189</v>
      </c>
      <c r="O56" s="30"/>
    </row>
    <row r="57" spans="1:15" s="545" customFormat="1" ht="35.1" customHeight="1">
      <c r="A57" s="867" t="s">
        <v>186</v>
      </c>
      <c r="B57" s="489" t="s">
        <v>188</v>
      </c>
      <c r="C57" s="489"/>
      <c r="D57" s="823"/>
      <c r="E57" s="602"/>
      <c r="F57" s="824"/>
      <c r="G57" s="825"/>
      <c r="H57" s="826"/>
      <c r="I57" s="827"/>
      <c r="J57" s="1053">
        <v>0</v>
      </c>
      <c r="K57" s="1060"/>
      <c r="L57" s="489"/>
      <c r="M57" s="602"/>
      <c r="N57" s="156" t="s">
        <v>190</v>
      </c>
      <c r="O57" s="30"/>
    </row>
    <row r="58" spans="1:15" s="545" customFormat="1" ht="98.85" customHeight="1">
      <c r="A58" s="868" t="s">
        <v>182</v>
      </c>
      <c r="B58" s="176" t="s">
        <v>298</v>
      </c>
      <c r="C58" s="176" t="s">
        <v>458</v>
      </c>
      <c r="D58" s="179">
        <v>47</v>
      </c>
      <c r="E58" s="596">
        <v>26.2</v>
      </c>
      <c r="F58" s="749">
        <f t="shared" ref="F58:F88" si="47">D58*E58</f>
        <v>1231.3999999999999</v>
      </c>
      <c r="G58" s="776">
        <v>40</v>
      </c>
      <c r="H58" s="765">
        <v>35</v>
      </c>
      <c r="I58" s="725">
        <f t="shared" ref="I58:I88" si="48">G58*H58</f>
        <v>1400</v>
      </c>
      <c r="J58" s="1029">
        <f t="shared" ref="J58:J71" si="49">I58/F58-1</f>
        <v>0.13691732986844252</v>
      </c>
      <c r="K58" s="1045">
        <f t="shared" ref="K58:K71" si="50">C58*(1+J58)</f>
        <v>579.82783823290572</v>
      </c>
      <c r="L58" s="176"/>
      <c r="M58" s="596"/>
      <c r="N58" s="371" t="s">
        <v>459</v>
      </c>
      <c r="O58" s="30"/>
    </row>
    <row r="59" spans="1:15" ht="62.85" customHeight="1">
      <c r="A59" s="868" t="s">
        <v>186</v>
      </c>
      <c r="B59" s="176" t="s">
        <v>301</v>
      </c>
      <c r="C59" s="176" t="s">
        <v>458</v>
      </c>
      <c r="D59" s="179">
        <v>47</v>
      </c>
      <c r="E59" s="596">
        <v>26.2</v>
      </c>
      <c r="F59" s="749">
        <f t="shared" si="47"/>
        <v>1231.3999999999999</v>
      </c>
      <c r="G59" s="776">
        <v>40</v>
      </c>
      <c r="H59" s="765">
        <v>30</v>
      </c>
      <c r="I59" s="725">
        <f t="shared" si="48"/>
        <v>1200</v>
      </c>
      <c r="J59" s="1029">
        <f t="shared" si="49"/>
        <v>-2.5499431541334938E-2</v>
      </c>
      <c r="K59" s="1045">
        <f t="shared" si="50"/>
        <v>496.99528991391918</v>
      </c>
      <c r="L59" s="176"/>
      <c r="M59" s="596"/>
      <c r="N59" s="784" t="s">
        <v>460</v>
      </c>
      <c r="O59" s="71"/>
    </row>
    <row r="60" spans="1:15" s="184" customFormat="1" ht="144" customHeight="1">
      <c r="A60" s="858">
        <v>1</v>
      </c>
      <c r="B60" s="34" t="s">
        <v>191</v>
      </c>
      <c r="C60" s="35">
        <v>207</v>
      </c>
      <c r="D60" s="35">
        <v>27.2</v>
      </c>
      <c r="E60" s="586">
        <v>10.4</v>
      </c>
      <c r="F60" s="737">
        <f t="shared" si="47"/>
        <v>282.88</v>
      </c>
      <c r="G60" s="776">
        <v>18</v>
      </c>
      <c r="H60" s="765">
        <v>25</v>
      </c>
      <c r="I60" s="714">
        <f t="shared" si="48"/>
        <v>450</v>
      </c>
      <c r="J60" s="1028">
        <f t="shared" si="49"/>
        <v>0.59078054298642546</v>
      </c>
      <c r="K60" s="1044">
        <f t="shared" si="50"/>
        <v>329.29157239819006</v>
      </c>
      <c r="L60" s="34" t="s">
        <v>47</v>
      </c>
      <c r="M60" s="586">
        <v>0.49</v>
      </c>
      <c r="N60" s="621" t="s">
        <v>461</v>
      </c>
      <c r="O60" s="791"/>
    </row>
    <row r="61" spans="1:15" ht="66" customHeight="1">
      <c r="A61" s="858">
        <v>2</v>
      </c>
      <c r="B61" s="34" t="s">
        <v>191</v>
      </c>
      <c r="C61" s="35">
        <v>180</v>
      </c>
      <c r="D61" s="35">
        <v>23.9</v>
      </c>
      <c r="E61" s="586">
        <v>10.4</v>
      </c>
      <c r="F61" s="737">
        <f t="shared" si="47"/>
        <v>248.56</v>
      </c>
      <c r="G61" s="776">
        <v>18</v>
      </c>
      <c r="H61" s="765">
        <v>30</v>
      </c>
      <c r="I61" s="714">
        <f t="shared" si="48"/>
        <v>540</v>
      </c>
      <c r="J61" s="1028">
        <f t="shared" si="49"/>
        <v>1.1725136787898296</v>
      </c>
      <c r="K61" s="1044">
        <f t="shared" si="50"/>
        <v>391.05246218216934</v>
      </c>
      <c r="L61" s="34" t="s">
        <v>48</v>
      </c>
      <c r="M61" s="586"/>
      <c r="N61" s="621" t="s">
        <v>193</v>
      </c>
    </row>
    <row r="62" spans="1:15" s="1213" customFormat="1" ht="38.1" customHeight="1">
      <c r="A62" s="870">
        <v>1</v>
      </c>
      <c r="B62" s="149" t="s">
        <v>194</v>
      </c>
      <c r="C62" s="152">
        <v>200</v>
      </c>
      <c r="D62" s="152">
        <v>33.9</v>
      </c>
      <c r="E62" s="829">
        <v>1.8</v>
      </c>
      <c r="F62" s="828">
        <f t="shared" si="47"/>
        <v>61.019999999999996</v>
      </c>
      <c r="G62" s="1208">
        <v>4</v>
      </c>
      <c r="H62" s="1208">
        <f>D62</f>
        <v>33.9</v>
      </c>
      <c r="I62" s="1209">
        <f t="shared" si="48"/>
        <v>135.6</v>
      </c>
      <c r="J62" s="1210">
        <f t="shared" si="49"/>
        <v>1.2222222222222223</v>
      </c>
      <c r="K62" s="1211">
        <f t="shared" si="50"/>
        <v>444.44444444444446</v>
      </c>
      <c r="L62" s="152"/>
      <c r="M62" s="829"/>
      <c r="N62" s="1212" t="s">
        <v>462</v>
      </c>
    </row>
    <row r="63" spans="1:15" s="1213" customFormat="1" ht="35.1" customHeight="1">
      <c r="A63" s="870">
        <v>2</v>
      </c>
      <c r="B63" s="149" t="s">
        <v>194</v>
      </c>
      <c r="C63" s="152">
        <v>200</v>
      </c>
      <c r="D63" s="152">
        <v>33.9</v>
      </c>
      <c r="E63" s="829">
        <v>3.5</v>
      </c>
      <c r="F63" s="828">
        <f t="shared" si="47"/>
        <v>118.64999999999999</v>
      </c>
      <c r="G63" s="1208">
        <v>4.5</v>
      </c>
      <c r="H63" s="1208">
        <v>36.9</v>
      </c>
      <c r="I63" s="1209">
        <f t="shared" si="48"/>
        <v>166.04999999999998</v>
      </c>
      <c r="J63" s="1210">
        <f t="shared" si="49"/>
        <v>0.39949431099873567</v>
      </c>
      <c r="K63" s="1211">
        <f t="shared" si="50"/>
        <v>279.89886219974716</v>
      </c>
      <c r="L63" s="152"/>
      <c r="M63" s="829">
        <v>2.09</v>
      </c>
      <c r="N63" s="1212"/>
    </row>
    <row r="64" spans="1:15">
      <c r="A64" s="855">
        <v>1</v>
      </c>
      <c r="B64" s="69" t="s">
        <v>196</v>
      </c>
      <c r="C64" s="30">
        <v>627</v>
      </c>
      <c r="D64" s="30">
        <v>36.700000000000003</v>
      </c>
      <c r="E64" s="683">
        <v>12</v>
      </c>
      <c r="F64" s="788">
        <f t="shared" si="47"/>
        <v>440.40000000000003</v>
      </c>
      <c r="G64" s="779">
        <v>14.4</v>
      </c>
      <c r="H64" s="768">
        <f>D64</f>
        <v>36.700000000000003</v>
      </c>
      <c r="I64" s="789">
        <f t="shared" si="48"/>
        <v>528.48</v>
      </c>
      <c r="J64" s="1030">
        <f t="shared" si="49"/>
        <v>0.19999999999999996</v>
      </c>
      <c r="K64" s="1046">
        <f t="shared" si="50"/>
        <v>752.4</v>
      </c>
      <c r="L64" s="29" t="s">
        <v>14</v>
      </c>
    </row>
    <row r="65" spans="1:15" s="56" customFormat="1" ht="27.75" customHeight="1">
      <c r="A65" s="855">
        <v>2</v>
      </c>
      <c r="B65" s="69" t="s">
        <v>196</v>
      </c>
      <c r="C65" s="30">
        <v>627</v>
      </c>
      <c r="D65" s="30">
        <v>36.700000000000003</v>
      </c>
      <c r="E65" s="683">
        <v>12</v>
      </c>
      <c r="F65" s="788">
        <f t="shared" si="47"/>
        <v>440.40000000000003</v>
      </c>
      <c r="G65" s="779">
        <v>14.4</v>
      </c>
      <c r="H65" s="768">
        <v>23.8</v>
      </c>
      <c r="I65" s="789">
        <f t="shared" si="48"/>
        <v>342.72</v>
      </c>
      <c r="J65" s="1030">
        <f t="shared" si="49"/>
        <v>-0.22179836512261575</v>
      </c>
      <c r="K65" s="1046">
        <f t="shared" si="50"/>
        <v>487.93242506811993</v>
      </c>
      <c r="L65" s="29" t="s">
        <v>197</v>
      </c>
      <c r="M65" s="683"/>
      <c r="N65" s="414"/>
      <c r="O65" s="30"/>
    </row>
    <row r="66" spans="1:15" s="56" customFormat="1" ht="22.35" customHeight="1">
      <c r="A66" s="865">
        <v>1</v>
      </c>
      <c r="B66" s="74" t="s">
        <v>200</v>
      </c>
      <c r="C66" s="75">
        <v>189</v>
      </c>
      <c r="D66" s="75">
        <v>33.299999999999997</v>
      </c>
      <c r="E66" s="587">
        <v>8.1</v>
      </c>
      <c r="F66" s="743">
        <f t="shared" si="47"/>
        <v>269.72999999999996</v>
      </c>
      <c r="G66" s="776">
        <v>11</v>
      </c>
      <c r="H66" s="765">
        <v>35</v>
      </c>
      <c r="I66" s="720">
        <f t="shared" si="48"/>
        <v>385</v>
      </c>
      <c r="J66" s="1027">
        <f t="shared" si="49"/>
        <v>0.42735327920513133</v>
      </c>
      <c r="K66" s="1043">
        <f t="shared" si="50"/>
        <v>269.76976976976982</v>
      </c>
      <c r="L66" s="74" t="s">
        <v>14</v>
      </c>
      <c r="M66" s="587"/>
      <c r="N66" s="419" t="s">
        <v>201</v>
      </c>
      <c r="O66" s="30"/>
    </row>
    <row r="67" spans="1:15" s="545" customFormat="1" ht="56.1">
      <c r="A67" s="865">
        <v>2</v>
      </c>
      <c r="B67" s="74" t="s">
        <v>200</v>
      </c>
      <c r="C67" s="75">
        <v>189</v>
      </c>
      <c r="D67" s="75">
        <v>33.299999999999997</v>
      </c>
      <c r="E67" s="587">
        <v>8.1</v>
      </c>
      <c r="F67" s="743">
        <f t="shared" si="47"/>
        <v>269.72999999999996</v>
      </c>
      <c r="G67" s="776">
        <v>11</v>
      </c>
      <c r="H67" s="765">
        <v>34.6</v>
      </c>
      <c r="I67" s="720">
        <f t="shared" si="48"/>
        <v>380.6</v>
      </c>
      <c r="J67" s="1027">
        <f t="shared" si="49"/>
        <v>0.41104067029992986</v>
      </c>
      <c r="K67" s="1043">
        <f t="shared" si="50"/>
        <v>266.68668668668676</v>
      </c>
      <c r="L67" s="74" t="s">
        <v>14</v>
      </c>
      <c r="M67" s="587"/>
      <c r="N67" s="419" t="s">
        <v>463</v>
      </c>
      <c r="O67" s="30"/>
    </row>
    <row r="68" spans="1:15" s="238" customFormat="1" ht="56.1">
      <c r="A68" s="857">
        <v>1</v>
      </c>
      <c r="B68" s="234" t="s">
        <v>203</v>
      </c>
      <c r="C68" s="449">
        <v>341</v>
      </c>
      <c r="D68" s="449">
        <v>129</v>
      </c>
      <c r="E68" s="599">
        <v>3.33</v>
      </c>
      <c r="F68" s="752">
        <f t="shared" si="47"/>
        <v>429.57</v>
      </c>
      <c r="G68" s="776">
        <v>4.16</v>
      </c>
      <c r="H68" s="765">
        <f>D68</f>
        <v>129</v>
      </c>
      <c r="I68" s="728">
        <f t="shared" si="48"/>
        <v>536.64</v>
      </c>
      <c r="J68" s="1031">
        <f t="shared" si="49"/>
        <v>0.24924924924924929</v>
      </c>
      <c r="K68" s="1047">
        <f t="shared" si="50"/>
        <v>425.99399399399402</v>
      </c>
      <c r="L68" s="234" t="s">
        <v>157</v>
      </c>
      <c r="M68" s="599">
        <v>0.56000000000000005</v>
      </c>
      <c r="N68" s="450"/>
    </row>
    <row r="69" spans="1:15" s="238" customFormat="1" ht="25.35" customHeight="1">
      <c r="A69" s="857">
        <v>2</v>
      </c>
      <c r="B69" s="234" t="s">
        <v>203</v>
      </c>
      <c r="C69" s="449">
        <v>341</v>
      </c>
      <c r="D69" s="449">
        <v>129</v>
      </c>
      <c r="E69" s="599">
        <v>3.33</v>
      </c>
      <c r="F69" s="752">
        <f t="shared" si="47"/>
        <v>429.57</v>
      </c>
      <c r="G69" s="776">
        <v>4.16</v>
      </c>
      <c r="H69" s="765">
        <v>36.9</v>
      </c>
      <c r="I69" s="728">
        <f t="shared" si="48"/>
        <v>153.50399999999999</v>
      </c>
      <c r="J69" s="1031">
        <f t="shared" si="49"/>
        <v>-0.64265661009847053</v>
      </c>
      <c r="K69" s="1047">
        <f t="shared" si="50"/>
        <v>121.85409595642155</v>
      </c>
      <c r="L69" s="234" t="s">
        <v>157</v>
      </c>
      <c r="M69" s="599"/>
      <c r="N69" s="450"/>
    </row>
    <row r="70" spans="1:15" ht="44.1" customHeight="1">
      <c r="A70" s="856">
        <v>1</v>
      </c>
      <c r="B70" s="34" t="s">
        <v>205</v>
      </c>
      <c r="C70" s="35">
        <v>258</v>
      </c>
      <c r="D70" s="35">
        <v>44</v>
      </c>
      <c r="E70" s="586">
        <v>14</v>
      </c>
      <c r="F70" s="737">
        <f t="shared" si="47"/>
        <v>616</v>
      </c>
      <c r="G70" s="776">
        <v>21</v>
      </c>
      <c r="H70" s="765">
        <v>35</v>
      </c>
      <c r="I70" s="714">
        <f t="shared" si="48"/>
        <v>735</v>
      </c>
      <c r="J70" s="1028">
        <f t="shared" si="49"/>
        <v>0.19318181818181812</v>
      </c>
      <c r="K70" s="1044">
        <f t="shared" si="50"/>
        <v>307.84090909090907</v>
      </c>
      <c r="L70" s="34" t="s">
        <v>47</v>
      </c>
      <c r="M70" s="586">
        <v>2.56</v>
      </c>
      <c r="N70" s="580" t="s">
        <v>342</v>
      </c>
    </row>
    <row r="71" spans="1:15" ht="369.75" customHeight="1">
      <c r="A71" s="856">
        <v>2</v>
      </c>
      <c r="B71" s="34" t="s">
        <v>205</v>
      </c>
      <c r="C71" s="35">
        <v>258</v>
      </c>
      <c r="D71" s="35">
        <v>44</v>
      </c>
      <c r="E71" s="586">
        <v>14</v>
      </c>
      <c r="F71" s="737">
        <f t="shared" si="47"/>
        <v>616</v>
      </c>
      <c r="G71" s="776">
        <v>21</v>
      </c>
      <c r="H71" s="765">
        <v>40</v>
      </c>
      <c r="I71" s="714">
        <f t="shared" si="48"/>
        <v>840</v>
      </c>
      <c r="J71" s="1028">
        <f t="shared" si="49"/>
        <v>0.36363636363636354</v>
      </c>
      <c r="K71" s="1044">
        <f t="shared" si="50"/>
        <v>351.81818181818181</v>
      </c>
      <c r="L71" s="34"/>
      <c r="M71" s="586">
        <v>2.86</v>
      </c>
      <c r="N71" s="580" t="s">
        <v>343</v>
      </c>
    </row>
    <row r="72" spans="1:15">
      <c r="A72" s="864">
        <v>1</v>
      </c>
      <c r="B72" s="183" t="s">
        <v>207</v>
      </c>
      <c r="C72" s="184"/>
      <c r="D72" s="184"/>
      <c r="E72" s="603"/>
      <c r="F72" s="830">
        <f t="shared" si="47"/>
        <v>0</v>
      </c>
      <c r="I72" s="831">
        <f t="shared" si="48"/>
        <v>0</v>
      </c>
      <c r="J72" s="1029">
        <v>0</v>
      </c>
      <c r="K72" s="1045"/>
      <c r="L72" s="184"/>
      <c r="M72" s="603">
        <v>1.92</v>
      </c>
      <c r="N72" s="371" t="s">
        <v>58</v>
      </c>
    </row>
    <row r="73" spans="1:15" s="184" customFormat="1">
      <c r="A73" s="864">
        <v>1</v>
      </c>
      <c r="B73" s="176" t="s">
        <v>208</v>
      </c>
      <c r="C73" s="179">
        <v>881</v>
      </c>
      <c r="D73" s="179">
        <v>15.5</v>
      </c>
      <c r="E73" s="596">
        <v>16.8</v>
      </c>
      <c r="F73" s="749">
        <f t="shared" si="47"/>
        <v>260.40000000000003</v>
      </c>
      <c r="G73" s="776">
        <v>20</v>
      </c>
      <c r="H73" s="765">
        <f>D73</f>
        <v>15.5</v>
      </c>
      <c r="I73" s="725">
        <f t="shared" si="48"/>
        <v>310</v>
      </c>
      <c r="J73" s="1029">
        <f t="shared" ref="J73:J88" si="51">I73/F73-1</f>
        <v>0.19047619047619024</v>
      </c>
      <c r="K73" s="1045">
        <f t="shared" ref="K73:K88" si="52">C73*(1+J73)</f>
        <v>1048.8095238095236</v>
      </c>
      <c r="L73" s="176" t="s">
        <v>14</v>
      </c>
      <c r="M73" s="596"/>
      <c r="N73" s="423"/>
      <c r="O73" s="30"/>
    </row>
    <row r="74" spans="1:15" s="184" customFormat="1">
      <c r="A74" s="864">
        <v>2</v>
      </c>
      <c r="B74" s="176" t="s">
        <v>208</v>
      </c>
      <c r="C74" s="179">
        <v>881</v>
      </c>
      <c r="D74" s="179">
        <v>15.5</v>
      </c>
      <c r="E74" s="596">
        <v>16.8</v>
      </c>
      <c r="F74" s="749">
        <f t="shared" si="47"/>
        <v>260.40000000000003</v>
      </c>
      <c r="G74" s="776">
        <v>20</v>
      </c>
      <c r="H74" s="765">
        <v>16</v>
      </c>
      <c r="I74" s="725">
        <f t="shared" si="48"/>
        <v>320</v>
      </c>
      <c r="J74" s="1029">
        <f t="shared" si="51"/>
        <v>0.2288786482334868</v>
      </c>
      <c r="K74" s="1045">
        <f t="shared" si="52"/>
        <v>1082.6420890937018</v>
      </c>
      <c r="L74" s="179"/>
      <c r="M74" s="596"/>
      <c r="N74" s="423"/>
      <c r="O74" s="30"/>
    </row>
    <row r="75" spans="1:15" s="1217" customFormat="1" ht="98.1">
      <c r="A75" s="1225">
        <v>1</v>
      </c>
      <c r="B75" s="1216" t="s">
        <v>464</v>
      </c>
      <c r="C75" s="1372">
        <v>225</v>
      </c>
      <c r="D75" s="1372">
        <v>177</v>
      </c>
      <c r="E75" s="1373">
        <v>13.1</v>
      </c>
      <c r="F75" s="1374">
        <f t="shared" ref="F75" si="53">D75*E75</f>
        <v>2318.6999999999998</v>
      </c>
      <c r="G75" s="776">
        <v>20</v>
      </c>
      <c r="H75" s="765">
        <f>D75</f>
        <v>177</v>
      </c>
      <c r="I75" s="1375">
        <f t="shared" ref="I75" si="54">G75*H75</f>
        <v>3540</v>
      </c>
      <c r="J75" s="1221">
        <f t="shared" ref="J75" si="55">I75/F75-1</f>
        <v>0.5267175572519085</v>
      </c>
      <c r="K75" s="1222">
        <f t="shared" ref="K75" si="56">C75*(1+J75)</f>
        <v>343.51145038167942</v>
      </c>
      <c r="L75" s="1372"/>
      <c r="M75" s="1373"/>
      <c r="N75" s="1376" t="s">
        <v>465</v>
      </c>
      <c r="O75" s="1377" t="s">
        <v>466</v>
      </c>
    </row>
    <row r="76" spans="1:15" s="1217" customFormat="1" ht="172.35" customHeight="1">
      <c r="A76" s="1225">
        <v>2</v>
      </c>
      <c r="B76" s="1216" t="s">
        <v>464</v>
      </c>
      <c r="C76" s="1372">
        <v>225</v>
      </c>
      <c r="D76" s="1372">
        <v>177</v>
      </c>
      <c r="E76" s="1373">
        <v>13.1</v>
      </c>
      <c r="F76" s="1374">
        <f t="shared" ref="F76" si="57">D76*E76</f>
        <v>2318.6999999999998</v>
      </c>
      <c r="G76" s="776">
        <v>20</v>
      </c>
      <c r="H76" s="765">
        <v>150</v>
      </c>
      <c r="I76" s="1375">
        <f t="shared" ref="I76" si="58">G76*H76</f>
        <v>3000</v>
      </c>
      <c r="J76" s="1221">
        <f t="shared" ref="J76" si="59">I76/F76-1</f>
        <v>0.29382843834907502</v>
      </c>
      <c r="K76" s="1222">
        <f t="shared" ref="K76" si="60">C76*(1+J76)</f>
        <v>291.11139862854191</v>
      </c>
      <c r="L76" s="1372"/>
      <c r="M76" s="1373"/>
      <c r="N76" s="1376" t="s">
        <v>467</v>
      </c>
      <c r="O76" s="1376" t="s">
        <v>468</v>
      </c>
    </row>
    <row r="77" spans="1:15" s="545" customFormat="1" ht="74.849999999999994" customHeight="1">
      <c r="A77" s="858">
        <v>1</v>
      </c>
      <c r="B77" s="34" t="s">
        <v>469</v>
      </c>
      <c r="C77" s="35">
        <v>440</v>
      </c>
      <c r="D77" s="35">
        <v>46.7</v>
      </c>
      <c r="E77" s="586">
        <v>23.1</v>
      </c>
      <c r="F77" s="737">
        <f t="shared" ref="F77" si="61">D77*E77</f>
        <v>1078.7700000000002</v>
      </c>
      <c r="G77" s="776">
        <v>27</v>
      </c>
      <c r="H77" s="765">
        <f>D77</f>
        <v>46.7</v>
      </c>
      <c r="I77" s="714">
        <f t="shared" ref="I77" si="62">G77*H77</f>
        <v>1260.9000000000001</v>
      </c>
      <c r="J77" s="1028">
        <f t="shared" ref="J77" si="63">I77/F77-1</f>
        <v>0.16883116883116878</v>
      </c>
      <c r="K77" s="1044">
        <f t="shared" ref="K77" si="64">C77*(1+J77)</f>
        <v>514.28571428571422</v>
      </c>
      <c r="L77" s="35"/>
      <c r="M77" s="586"/>
      <c r="N77" s="462" t="s">
        <v>470</v>
      </c>
    </row>
    <row r="78" spans="1:15" s="545" customFormat="1" ht="72" customHeight="1">
      <c r="A78" s="858">
        <v>2</v>
      </c>
      <c r="B78" s="34" t="s">
        <v>469</v>
      </c>
      <c r="C78" s="35">
        <v>440</v>
      </c>
      <c r="D78" s="35">
        <v>46.7</v>
      </c>
      <c r="E78" s="586">
        <v>23.1</v>
      </c>
      <c r="F78" s="737">
        <f t="shared" ref="F78" si="65">D78*E78</f>
        <v>1078.7700000000002</v>
      </c>
      <c r="G78" s="776">
        <v>27</v>
      </c>
      <c r="H78" s="765">
        <f>D78</f>
        <v>46.7</v>
      </c>
      <c r="I78" s="714">
        <f t="shared" ref="I78" si="66">G78*H78</f>
        <v>1260.9000000000001</v>
      </c>
      <c r="J78" s="1028">
        <f t="shared" ref="J78" si="67">I78/F78-1</f>
        <v>0.16883116883116878</v>
      </c>
      <c r="K78" s="1044">
        <f t="shared" ref="K78" si="68">C78*(1+J78)</f>
        <v>514.28571428571422</v>
      </c>
      <c r="L78" s="35"/>
      <c r="M78" s="586"/>
      <c r="N78" s="462"/>
    </row>
    <row r="79" spans="1:15" ht="76.349999999999994" customHeight="1">
      <c r="A79" s="865">
        <v>1</v>
      </c>
      <c r="B79" s="74" t="s">
        <v>316</v>
      </c>
      <c r="C79" s="75">
        <v>360</v>
      </c>
      <c r="D79" s="75">
        <v>23.3</v>
      </c>
      <c r="E79" s="587">
        <v>22.9</v>
      </c>
      <c r="F79" s="743">
        <f t="shared" si="47"/>
        <v>533.56999999999994</v>
      </c>
      <c r="G79" s="776">
        <v>33</v>
      </c>
      <c r="H79" s="765">
        <v>23</v>
      </c>
      <c r="I79" s="720">
        <f t="shared" si="48"/>
        <v>759</v>
      </c>
      <c r="J79" s="1027">
        <f t="shared" si="51"/>
        <v>0.42249376839027697</v>
      </c>
      <c r="K79" s="1043">
        <f t="shared" si="52"/>
        <v>512.09775662049969</v>
      </c>
      <c r="L79" s="74"/>
      <c r="M79" s="587"/>
      <c r="N79" s="419" t="s">
        <v>344</v>
      </c>
    </row>
    <row r="80" spans="1:15" ht="59.85" customHeight="1">
      <c r="A80" s="865">
        <v>2</v>
      </c>
      <c r="B80" s="74" t="s">
        <v>345</v>
      </c>
      <c r="C80" s="75">
        <v>360</v>
      </c>
      <c r="D80" s="75">
        <v>23.3</v>
      </c>
      <c r="E80" s="587">
        <v>22.9</v>
      </c>
      <c r="F80" s="743">
        <f t="shared" si="47"/>
        <v>533.56999999999994</v>
      </c>
      <c r="G80" s="776">
        <v>33</v>
      </c>
      <c r="H80" s="765">
        <v>30</v>
      </c>
      <c r="I80" s="720">
        <f t="shared" si="48"/>
        <v>990</v>
      </c>
      <c r="J80" s="1027">
        <f t="shared" si="51"/>
        <v>0.85542665442210031</v>
      </c>
      <c r="K80" s="1043">
        <f t="shared" si="52"/>
        <v>667.95359559195606</v>
      </c>
      <c r="L80" s="74"/>
      <c r="M80" s="587"/>
      <c r="N80" s="419" t="s">
        <v>319</v>
      </c>
    </row>
    <row r="81" spans="1:15" ht="60.75" customHeight="1">
      <c r="A81" s="858">
        <v>1</v>
      </c>
      <c r="B81" s="34" t="s">
        <v>471</v>
      </c>
      <c r="C81" s="545">
        <v>85</v>
      </c>
      <c r="D81" s="545">
        <v>21.7</v>
      </c>
      <c r="E81" s="656">
        <v>6.14</v>
      </c>
      <c r="F81" s="748">
        <f t="shared" si="47"/>
        <v>133.238</v>
      </c>
      <c r="G81" s="779">
        <v>8</v>
      </c>
      <c r="H81" s="768">
        <f>D81</f>
        <v>21.7</v>
      </c>
      <c r="I81" s="724">
        <f t="shared" si="48"/>
        <v>173.6</v>
      </c>
      <c r="J81" s="1028">
        <f t="shared" si="51"/>
        <v>0.30293159609120512</v>
      </c>
      <c r="K81" s="1044">
        <f t="shared" si="52"/>
        <v>110.74918566775244</v>
      </c>
      <c r="L81" s="459"/>
      <c r="M81" s="656"/>
      <c r="N81" s="580" t="s">
        <v>472</v>
      </c>
    </row>
    <row r="82" spans="1:15" ht="35.1" customHeight="1">
      <c r="A82" s="858">
        <v>2</v>
      </c>
      <c r="B82" s="34" t="s">
        <v>473</v>
      </c>
      <c r="C82" s="545">
        <v>85</v>
      </c>
      <c r="D82" s="545">
        <v>21.7</v>
      </c>
      <c r="E82" s="656">
        <v>6.14</v>
      </c>
      <c r="F82" s="748">
        <f t="shared" si="47"/>
        <v>133.238</v>
      </c>
      <c r="G82" s="779">
        <v>8</v>
      </c>
      <c r="H82" s="768">
        <v>26</v>
      </c>
      <c r="I82" s="724">
        <f t="shared" si="48"/>
        <v>208</v>
      </c>
      <c r="J82" s="1028">
        <f t="shared" si="51"/>
        <v>0.56111619808162838</v>
      </c>
      <c r="K82" s="1044">
        <f t="shared" si="52"/>
        <v>132.69487683693842</v>
      </c>
      <c r="L82" s="459"/>
      <c r="M82" s="656"/>
      <c r="N82" s="580" t="s">
        <v>474</v>
      </c>
    </row>
    <row r="83" spans="1:15" s="238" customFormat="1" ht="35.1" customHeight="1">
      <c r="A83" s="857"/>
      <c r="B83" s="234" t="s">
        <v>475</v>
      </c>
      <c r="C83" s="238">
        <v>281</v>
      </c>
      <c r="D83" s="238">
        <v>33.9</v>
      </c>
      <c r="E83" s="814">
        <v>21</v>
      </c>
      <c r="F83" s="812">
        <f t="shared" si="47"/>
        <v>711.9</v>
      </c>
      <c r="G83" s="779">
        <v>25</v>
      </c>
      <c r="H83" s="768">
        <v>30</v>
      </c>
      <c r="I83" s="813">
        <f t="shared" si="48"/>
        <v>750</v>
      </c>
      <c r="J83" s="1031">
        <f t="shared" si="51"/>
        <v>5.3518752633797018E-2</v>
      </c>
      <c r="K83" s="1047">
        <f t="shared" si="52"/>
        <v>296.03876949009697</v>
      </c>
      <c r="L83" s="239"/>
      <c r="M83" s="814"/>
      <c r="N83" s="431"/>
    </row>
    <row r="84" spans="1:15" s="238" customFormat="1" ht="35.1" customHeight="1">
      <c r="A84" s="857"/>
      <c r="B84" s="234" t="s">
        <v>475</v>
      </c>
      <c r="C84" s="238">
        <v>281</v>
      </c>
      <c r="D84" s="238">
        <v>33.9</v>
      </c>
      <c r="E84" s="814">
        <v>21</v>
      </c>
      <c r="F84" s="812">
        <f t="shared" si="47"/>
        <v>711.9</v>
      </c>
      <c r="G84" s="779">
        <v>25</v>
      </c>
      <c r="H84" s="768">
        <v>35</v>
      </c>
      <c r="I84" s="813">
        <f t="shared" si="48"/>
        <v>875</v>
      </c>
      <c r="J84" s="1031">
        <f t="shared" si="51"/>
        <v>0.2291052114060963</v>
      </c>
      <c r="K84" s="1047">
        <f t="shared" si="52"/>
        <v>345.37856440511308</v>
      </c>
      <c r="L84" s="239"/>
      <c r="M84" s="814"/>
      <c r="N84" s="431"/>
    </row>
    <row r="85" spans="1:15" s="56" customFormat="1" ht="48" customHeight="1">
      <c r="A85" s="865">
        <v>1</v>
      </c>
      <c r="B85" s="74" t="s">
        <v>223</v>
      </c>
      <c r="C85" s="56">
        <v>265.5</v>
      </c>
      <c r="D85" s="56">
        <v>29.76</v>
      </c>
      <c r="E85" s="821">
        <v>23.2</v>
      </c>
      <c r="F85" s="819">
        <f t="shared" si="47"/>
        <v>690.43200000000002</v>
      </c>
      <c r="G85" s="779">
        <v>25</v>
      </c>
      <c r="H85" s="768">
        <f>D85</f>
        <v>29.76</v>
      </c>
      <c r="I85" s="820">
        <f t="shared" si="48"/>
        <v>744</v>
      </c>
      <c r="J85" s="1027">
        <f t="shared" si="51"/>
        <v>7.7586206896551602E-2</v>
      </c>
      <c r="K85" s="1043">
        <f t="shared" si="52"/>
        <v>286.09913793103448</v>
      </c>
      <c r="L85" s="55" t="s">
        <v>14</v>
      </c>
      <c r="M85" s="821"/>
      <c r="N85" s="419" t="s">
        <v>476</v>
      </c>
    </row>
    <row r="86" spans="1:15" s="56" customFormat="1" ht="103.35" customHeight="1">
      <c r="A86" s="865">
        <v>2</v>
      </c>
      <c r="B86" s="74" t="s">
        <v>223</v>
      </c>
      <c r="C86" s="56">
        <v>265.5</v>
      </c>
      <c r="D86" s="56">
        <v>29.76</v>
      </c>
      <c r="E86" s="821">
        <v>23.2</v>
      </c>
      <c r="F86" s="819">
        <f t="shared" si="47"/>
        <v>690.43200000000002</v>
      </c>
      <c r="G86" s="779">
        <v>30</v>
      </c>
      <c r="H86" s="768">
        <f>D86</f>
        <v>29.76</v>
      </c>
      <c r="I86" s="820">
        <f t="shared" si="48"/>
        <v>892.80000000000007</v>
      </c>
      <c r="J86" s="1027">
        <f t="shared" si="51"/>
        <v>0.2931034482758621</v>
      </c>
      <c r="K86" s="1043">
        <f t="shared" si="52"/>
        <v>343.31896551724139</v>
      </c>
      <c r="L86" s="55" t="s">
        <v>14</v>
      </c>
      <c r="M86" s="821"/>
      <c r="N86" s="432" t="s">
        <v>477</v>
      </c>
    </row>
    <row r="87" spans="1:15" s="545" customFormat="1" ht="33.75" customHeight="1">
      <c r="A87" s="858">
        <v>1</v>
      </c>
      <c r="B87" s="34" t="s">
        <v>225</v>
      </c>
      <c r="C87" s="545">
        <v>106</v>
      </c>
      <c r="D87" s="545">
        <v>29</v>
      </c>
      <c r="E87" s="656">
        <v>17.899999999999999</v>
      </c>
      <c r="F87" s="748">
        <f t="shared" si="47"/>
        <v>519.09999999999991</v>
      </c>
      <c r="G87" s="779">
        <v>21</v>
      </c>
      <c r="H87" s="768">
        <f>D87</f>
        <v>29</v>
      </c>
      <c r="I87" s="724">
        <f t="shared" si="48"/>
        <v>609</v>
      </c>
      <c r="J87" s="1028">
        <f t="shared" si="51"/>
        <v>0.17318435754189965</v>
      </c>
      <c r="K87" s="1044">
        <f t="shared" si="52"/>
        <v>124.35754189944136</v>
      </c>
      <c r="L87" s="459" t="s">
        <v>226</v>
      </c>
      <c r="M87" s="656">
        <v>0</v>
      </c>
      <c r="N87" s="897" t="s">
        <v>478</v>
      </c>
    </row>
    <row r="88" spans="1:15" s="545" customFormat="1" ht="50.1" customHeight="1">
      <c r="A88" s="858">
        <v>2</v>
      </c>
      <c r="B88" s="34" t="s">
        <v>225</v>
      </c>
      <c r="C88" s="545">
        <v>106</v>
      </c>
      <c r="D88" s="545">
        <v>29</v>
      </c>
      <c r="E88" s="656">
        <v>17.899999999999999</v>
      </c>
      <c r="F88" s="748">
        <f t="shared" si="47"/>
        <v>519.09999999999991</v>
      </c>
      <c r="G88" s="779">
        <v>21</v>
      </c>
      <c r="H88" s="768">
        <v>38</v>
      </c>
      <c r="I88" s="724">
        <f t="shared" si="48"/>
        <v>798</v>
      </c>
      <c r="J88" s="1028">
        <f t="shared" si="51"/>
        <v>0.53727605471007545</v>
      </c>
      <c r="K88" s="1044">
        <f t="shared" si="52"/>
        <v>162.951261799268</v>
      </c>
      <c r="M88" s="656"/>
      <c r="N88" s="898" t="s">
        <v>479</v>
      </c>
    </row>
    <row r="89" spans="1:15" ht="44.85" customHeight="1">
      <c r="A89" s="871">
        <v>1</v>
      </c>
      <c r="B89" s="686" t="s">
        <v>322</v>
      </c>
      <c r="C89" s="832">
        <v>350</v>
      </c>
      <c r="D89" s="832">
        <v>57.8</v>
      </c>
      <c r="E89" s="920">
        <v>7.8</v>
      </c>
      <c r="F89" s="833">
        <f t="shared" ref="F89:F90" si="69">D89*E89</f>
        <v>450.84</v>
      </c>
      <c r="G89" s="825">
        <v>20</v>
      </c>
      <c r="H89" s="826">
        <v>40</v>
      </c>
      <c r="I89" s="834">
        <f t="shared" ref="I89:I90" si="70">G89*H89</f>
        <v>800</v>
      </c>
      <c r="J89" s="1054">
        <f t="shared" ref="J89:J90" si="71">I89/F89-1</f>
        <v>0.77446544228551151</v>
      </c>
      <c r="K89" s="1061">
        <f t="shared" ref="K89:K90" si="72">C89*(1+J89)</f>
        <v>621.06290479992902</v>
      </c>
      <c r="L89" s="686"/>
      <c r="M89" s="835"/>
      <c r="N89" s="687" t="s">
        <v>480</v>
      </c>
    </row>
    <row r="90" spans="1:15" ht="84">
      <c r="A90" s="872">
        <v>2</v>
      </c>
      <c r="B90" s="706" t="s">
        <v>481</v>
      </c>
      <c r="C90" s="832">
        <v>350</v>
      </c>
      <c r="D90" s="832">
        <v>57.8</v>
      </c>
      <c r="E90" s="920">
        <v>7.8</v>
      </c>
      <c r="F90" s="833">
        <f t="shared" si="69"/>
        <v>450.84</v>
      </c>
      <c r="G90" s="825">
        <v>20</v>
      </c>
      <c r="H90" s="826">
        <v>30</v>
      </c>
      <c r="I90" s="834">
        <f t="shared" si="70"/>
        <v>600</v>
      </c>
      <c r="J90" s="1054">
        <f t="shared" si="71"/>
        <v>0.33084908171413363</v>
      </c>
      <c r="K90" s="1061">
        <f t="shared" si="72"/>
        <v>465.79717859994679</v>
      </c>
      <c r="L90" s="706"/>
      <c r="M90" s="836"/>
      <c r="N90" s="707" t="s">
        <v>482</v>
      </c>
    </row>
    <row r="93" spans="1:15" ht="14.45">
      <c r="B93" s="380"/>
      <c r="J93" s="1030"/>
      <c r="K93" s="1046"/>
      <c r="L93" s="29"/>
      <c r="N93" s="415"/>
    </row>
    <row r="94" spans="1:15">
      <c r="A94" s="873"/>
      <c r="B94" s="218"/>
      <c r="C94" s="837"/>
      <c r="D94" s="837"/>
      <c r="E94" s="842"/>
      <c r="F94" s="838"/>
      <c r="G94" s="839"/>
      <c r="H94" s="840"/>
      <c r="I94" s="838"/>
      <c r="J94" s="1070"/>
      <c r="K94" s="1066"/>
      <c r="L94" s="229" t="s">
        <v>232</v>
      </c>
      <c r="M94" s="841">
        <f>SUM(M2:M90)</f>
        <v>15.6</v>
      </c>
      <c r="N94" s="708"/>
    </row>
    <row r="95" spans="1:15">
      <c r="A95" s="874"/>
      <c r="B95" s="218"/>
      <c r="C95" s="837"/>
      <c r="D95" s="837"/>
      <c r="E95" s="842"/>
      <c r="F95" s="838"/>
      <c r="G95" s="839"/>
      <c r="H95" s="840"/>
      <c r="I95" s="838"/>
      <c r="J95" s="1070"/>
      <c r="K95" s="1066"/>
      <c r="L95" s="222"/>
      <c r="M95" s="842"/>
      <c r="N95" s="415"/>
    </row>
    <row r="96" spans="1:15" s="691" customFormat="1" ht="50.85" customHeight="1">
      <c r="A96" s="874"/>
      <c r="B96" s="206"/>
      <c r="C96" s="207"/>
      <c r="D96" s="207"/>
      <c r="E96" s="846"/>
      <c r="F96" s="843"/>
      <c r="G96" s="844"/>
      <c r="H96" s="845"/>
      <c r="I96" s="1059"/>
      <c r="J96" s="1055"/>
      <c r="K96" s="1055"/>
      <c r="L96" s="207"/>
      <c r="M96" s="846"/>
      <c r="N96" s="414"/>
      <c r="O96" s="71"/>
    </row>
    <row r="97" spans="1:15" s="35" customFormat="1" ht="29.85" customHeight="1">
      <c r="A97" s="874"/>
      <c r="B97" s="207"/>
      <c r="C97" s="207"/>
      <c r="D97" s="207"/>
      <c r="E97" s="846"/>
      <c r="F97" s="843"/>
      <c r="G97" s="844"/>
      <c r="H97" s="845"/>
      <c r="I97" s="1059"/>
      <c r="J97" s="1055"/>
      <c r="K97" s="1055"/>
      <c r="L97" s="207"/>
      <c r="M97" s="846"/>
      <c r="N97" s="414"/>
      <c r="O97" s="71"/>
    </row>
    <row r="98" spans="1:15" s="35" customFormat="1" ht="146.1" customHeight="1">
      <c r="A98" s="874"/>
      <c r="B98" s="207"/>
      <c r="C98" s="207"/>
      <c r="D98" s="207"/>
      <c r="E98" s="846"/>
      <c r="F98" s="843"/>
      <c r="G98" s="844"/>
      <c r="H98" s="845"/>
      <c r="I98" s="1059"/>
      <c r="J98" s="1055"/>
      <c r="K98" s="1055"/>
      <c r="L98" s="216" t="s">
        <v>232</v>
      </c>
      <c r="M98" s="847">
        <f>SUM(M96:M97)</f>
        <v>0</v>
      </c>
      <c r="N98" s="414"/>
      <c r="O98" s="71"/>
    </row>
    <row r="99" spans="1:15" s="75" customFormat="1">
      <c r="A99" s="855"/>
      <c r="B99" s="210"/>
      <c r="C99" s="212"/>
      <c r="D99" s="212"/>
      <c r="E99" s="852"/>
      <c r="F99" s="848"/>
      <c r="G99" s="849"/>
      <c r="H99" s="850"/>
      <c r="I99" s="851"/>
      <c r="J99" s="1067"/>
      <c r="K99" s="1067"/>
      <c r="L99" s="212"/>
      <c r="M99" s="852"/>
      <c r="N99" s="414"/>
      <c r="O99" s="71"/>
    </row>
    <row r="100" spans="1:15" s="75" customFormat="1" ht="42">
      <c r="A100" s="855"/>
      <c r="B100" s="71"/>
      <c r="C100" s="30"/>
      <c r="D100" s="30"/>
      <c r="E100" s="683"/>
      <c r="F100" s="788"/>
      <c r="G100" s="779"/>
      <c r="H100" s="768"/>
      <c r="I100" s="789"/>
      <c r="J100" s="1068"/>
      <c r="K100" s="1068"/>
      <c r="L100" s="374" t="s">
        <v>238</v>
      </c>
      <c r="M100" s="853">
        <f>M94+M98</f>
        <v>15.6</v>
      </c>
      <c r="N100" s="414"/>
      <c r="O100" s="71"/>
    </row>
    <row r="101" spans="1:15" ht="29.85" customHeight="1">
      <c r="A101" s="869"/>
      <c r="B101" s="62"/>
      <c r="C101" s="65"/>
      <c r="D101" s="65"/>
      <c r="E101" s="793"/>
      <c r="F101" s="792"/>
      <c r="G101" s="780"/>
      <c r="H101" s="769"/>
      <c r="I101" s="726"/>
      <c r="J101" s="1030"/>
      <c r="K101" s="1046"/>
      <c r="L101" s="62"/>
      <c r="M101" s="793"/>
    </row>
    <row r="102" spans="1:15">
      <c r="A102" s="869"/>
      <c r="B102" s="62"/>
      <c r="C102" s="65"/>
      <c r="D102" s="65"/>
      <c r="E102" s="793"/>
      <c r="F102" s="792"/>
      <c r="G102" s="780"/>
      <c r="H102" s="769"/>
      <c r="I102" s="726"/>
      <c r="J102" s="1030"/>
      <c r="K102" s="1046"/>
      <c r="L102" s="62"/>
      <c r="M102" s="793"/>
    </row>
    <row r="103" spans="1:15">
      <c r="B103" s="69"/>
      <c r="J103" s="1030"/>
      <c r="K103" s="1046"/>
      <c r="L103" s="29"/>
    </row>
    <row r="104" spans="1:15">
      <c r="B104" s="69"/>
      <c r="J104" s="1030"/>
      <c r="K104" s="1046"/>
    </row>
    <row r="105" spans="1:15">
      <c r="B105" s="69"/>
      <c r="C105" s="71"/>
      <c r="D105" s="71"/>
      <c r="E105" s="597"/>
      <c r="F105" s="750"/>
      <c r="G105" s="776"/>
      <c r="H105" s="765"/>
      <c r="I105" s="726"/>
      <c r="J105" s="1030"/>
      <c r="K105" s="1046"/>
      <c r="L105" s="69"/>
      <c r="M105" s="597"/>
    </row>
    <row r="106" spans="1:15">
      <c r="B106" s="69"/>
      <c r="C106" s="71"/>
      <c r="D106" s="71"/>
      <c r="E106" s="597"/>
      <c r="F106" s="750"/>
      <c r="G106" s="776"/>
      <c r="H106" s="765"/>
      <c r="I106" s="726"/>
      <c r="J106" s="1030"/>
      <c r="K106" s="1046"/>
      <c r="L106" s="71"/>
      <c r="M106" s="597"/>
    </row>
    <row r="107" spans="1:15">
      <c r="B107" s="69"/>
      <c r="J107" s="1030"/>
      <c r="K107" s="1046"/>
      <c r="L107" s="29"/>
    </row>
    <row r="108" spans="1:15">
      <c r="B108" s="69"/>
      <c r="J108" s="1030"/>
      <c r="K108" s="1046"/>
      <c r="L108" s="29"/>
    </row>
    <row r="109" spans="1:15" ht="96.75" customHeight="1">
      <c r="B109" s="69"/>
      <c r="J109" s="1030"/>
      <c r="K109" s="1046"/>
      <c r="L109" s="29"/>
      <c r="N109" s="415"/>
    </row>
    <row r="110" spans="1:15" ht="83.85" customHeight="1">
      <c r="B110" s="69"/>
      <c r="J110" s="1030"/>
      <c r="K110" s="1046"/>
      <c r="N110" s="415"/>
    </row>
    <row r="111" spans="1:15">
      <c r="B111" s="69"/>
      <c r="J111" s="1030"/>
      <c r="K111" s="1046"/>
      <c r="N111" s="415"/>
    </row>
    <row r="112" spans="1:15">
      <c r="B112" s="69"/>
      <c r="J112" s="1030"/>
      <c r="K112" s="1046"/>
      <c r="N112" s="415"/>
    </row>
    <row r="113" spans="1:15" s="35" customFormat="1" ht="44.85" customHeight="1">
      <c r="A113" s="855"/>
      <c r="B113" s="69"/>
      <c r="C113" s="71"/>
      <c r="D113" s="71"/>
      <c r="E113" s="597"/>
      <c r="F113" s="750"/>
      <c r="G113" s="776"/>
      <c r="H113" s="765"/>
      <c r="I113" s="726"/>
      <c r="J113" s="1030"/>
      <c r="K113" s="1046"/>
      <c r="L113" s="69"/>
      <c r="M113" s="597"/>
      <c r="N113" s="787"/>
      <c r="O113" s="71"/>
    </row>
    <row r="114" spans="1:15" s="35" customFormat="1" ht="38.1" customHeight="1">
      <c r="A114" s="855"/>
      <c r="B114" s="69"/>
      <c r="C114" s="71"/>
      <c r="D114" s="71"/>
      <c r="E114" s="597"/>
      <c r="F114" s="750"/>
      <c r="G114" s="776"/>
      <c r="H114" s="765"/>
      <c r="I114" s="726"/>
      <c r="J114" s="1030"/>
      <c r="K114" s="1046"/>
      <c r="L114" s="69"/>
      <c r="M114" s="597"/>
      <c r="N114" s="424"/>
      <c r="O114" s="71"/>
    </row>
    <row r="115" spans="1:15">
      <c r="A115" s="869"/>
      <c r="B115" s="62"/>
      <c r="C115" s="61"/>
      <c r="D115" s="61"/>
      <c r="E115" s="878"/>
      <c r="F115" s="877"/>
      <c r="G115" s="816"/>
      <c r="H115" s="817"/>
      <c r="J115" s="1030"/>
      <c r="K115" s="1046"/>
      <c r="L115" s="61"/>
      <c r="M115" s="878"/>
      <c r="N115" s="428"/>
    </row>
    <row r="116" spans="1:15">
      <c r="A116" s="869"/>
      <c r="B116" s="69"/>
      <c r="C116" s="71"/>
      <c r="J116" s="1030"/>
      <c r="K116" s="1046"/>
      <c r="L116" s="29"/>
      <c r="M116" s="793"/>
    </row>
    <row r="117" spans="1:15">
      <c r="A117" s="869"/>
      <c r="B117" s="69"/>
      <c r="C117" s="71"/>
      <c r="J117" s="1030"/>
      <c r="K117" s="1046"/>
      <c r="L117" s="29"/>
      <c r="M117" s="793"/>
    </row>
    <row r="118" spans="1:15" ht="14.45">
      <c r="A118" s="875"/>
      <c r="B118" s="69"/>
      <c r="C118" s="69"/>
      <c r="D118" s="71"/>
      <c r="E118" s="597"/>
      <c r="F118" s="750"/>
      <c r="G118" s="776"/>
      <c r="H118" s="765"/>
      <c r="I118" s="726"/>
      <c r="J118" s="1030"/>
      <c r="K118" s="1046"/>
      <c r="L118" s="69"/>
      <c r="M118" s="597"/>
      <c r="N118" s="879"/>
    </row>
    <row r="119" spans="1:15">
      <c r="A119" s="875"/>
      <c r="B119" s="69"/>
      <c r="C119" s="69"/>
      <c r="D119" s="71"/>
      <c r="E119" s="597"/>
      <c r="F119" s="750"/>
      <c r="G119" s="776"/>
      <c r="H119" s="765"/>
      <c r="I119" s="726"/>
      <c r="J119" s="1030"/>
      <c r="K119" s="1046"/>
      <c r="L119" s="69"/>
      <c r="M119" s="597"/>
      <c r="N119" s="424"/>
    </row>
    <row r="120" spans="1:15">
      <c r="A120" s="875"/>
      <c r="B120" s="69"/>
      <c r="C120" s="69"/>
      <c r="D120" s="71"/>
      <c r="E120" s="597"/>
      <c r="F120" s="750"/>
      <c r="G120" s="776"/>
      <c r="H120" s="765"/>
      <c r="I120" s="726"/>
      <c r="J120" s="1030"/>
      <c r="K120" s="1046"/>
      <c r="L120" s="69"/>
      <c r="M120" s="597"/>
      <c r="N120" s="424"/>
    </row>
    <row r="121" spans="1:15" s="783" customFormat="1" ht="14.45">
      <c r="A121" s="876"/>
      <c r="B121" s="795"/>
      <c r="C121" s="795"/>
      <c r="D121" s="880"/>
      <c r="E121" s="796"/>
      <c r="F121" s="881"/>
      <c r="G121" s="825"/>
      <c r="H121" s="826"/>
      <c r="I121" s="882"/>
      <c r="J121" s="1056"/>
      <c r="K121" s="1062"/>
      <c r="L121" s="795"/>
      <c r="M121" s="796"/>
      <c r="N121" s="156"/>
    </row>
    <row r="122" spans="1:15" s="184" customFormat="1" ht="131.85" customHeight="1">
      <c r="A122" s="875"/>
      <c r="B122" s="69"/>
      <c r="C122" s="69"/>
      <c r="D122" s="71"/>
      <c r="E122" s="597"/>
      <c r="F122" s="750"/>
      <c r="G122" s="776"/>
      <c r="H122" s="765"/>
      <c r="I122" s="726"/>
      <c r="J122" s="1030"/>
      <c r="K122" s="1046"/>
      <c r="L122" s="69"/>
      <c r="M122" s="597"/>
      <c r="N122" s="414"/>
      <c r="O122" s="797"/>
    </row>
    <row r="123" spans="1:15" s="184" customFormat="1" ht="59.85" customHeight="1">
      <c r="A123" s="875"/>
      <c r="B123" s="69"/>
      <c r="C123" s="69"/>
      <c r="D123" s="71"/>
      <c r="E123" s="597"/>
      <c r="F123" s="750"/>
      <c r="G123" s="776"/>
      <c r="H123" s="765"/>
      <c r="I123" s="726"/>
      <c r="J123" s="1030"/>
      <c r="K123" s="1046"/>
      <c r="L123" s="69"/>
      <c r="M123" s="597"/>
      <c r="N123" s="798"/>
      <c r="O123" s="30"/>
    </row>
    <row r="124" spans="1:15" s="35" customFormat="1" ht="14.45">
      <c r="A124" s="855"/>
      <c r="B124" s="69"/>
      <c r="C124" s="71"/>
      <c r="D124" s="71"/>
      <c r="E124" s="597"/>
      <c r="F124" s="750"/>
      <c r="G124" s="776"/>
      <c r="H124" s="765"/>
      <c r="I124" s="726"/>
      <c r="J124" s="1030"/>
      <c r="K124" s="1046"/>
      <c r="L124" s="69"/>
      <c r="M124" s="597"/>
      <c r="N124" s="794"/>
      <c r="O124" s="71"/>
    </row>
    <row r="125" spans="1:15" s="35" customFormat="1" ht="14.45">
      <c r="A125" s="855"/>
      <c r="B125" s="69"/>
      <c r="C125" s="71"/>
      <c r="D125" s="71"/>
      <c r="E125" s="597"/>
      <c r="F125" s="750"/>
      <c r="G125" s="776"/>
      <c r="H125" s="765"/>
      <c r="I125" s="726"/>
      <c r="J125" s="1030"/>
      <c r="K125" s="1046"/>
      <c r="L125" s="69"/>
      <c r="M125" s="597"/>
      <c r="N125" s="794"/>
      <c r="O125" s="71"/>
    </row>
    <row r="126" spans="1:15">
      <c r="A126" s="869"/>
      <c r="B126" s="62"/>
      <c r="C126" s="65"/>
      <c r="D126" s="65"/>
      <c r="E126" s="793"/>
      <c r="F126" s="792"/>
      <c r="G126" s="780"/>
      <c r="H126" s="769"/>
      <c r="I126" s="726"/>
      <c r="J126" s="1030"/>
      <c r="K126" s="1046"/>
      <c r="L126" s="65"/>
      <c r="M126" s="793"/>
    </row>
    <row r="127" spans="1:15">
      <c r="A127" s="869"/>
      <c r="B127" s="62"/>
      <c r="C127" s="65"/>
      <c r="D127" s="65"/>
      <c r="E127" s="793"/>
      <c r="F127" s="792"/>
      <c r="G127" s="780"/>
      <c r="H127" s="769"/>
      <c r="I127" s="726"/>
      <c r="J127" s="1030"/>
      <c r="K127" s="1046"/>
      <c r="L127" s="65"/>
      <c r="M127" s="793"/>
    </row>
    <row r="128" spans="1:15">
      <c r="B128" s="69"/>
      <c r="J128" s="1030"/>
      <c r="K128" s="1046"/>
      <c r="L128" s="29"/>
    </row>
    <row r="129" spans="1:15">
      <c r="B129" s="69"/>
      <c r="J129" s="1030"/>
      <c r="K129" s="1046"/>
      <c r="L129" s="29"/>
    </row>
    <row r="130" spans="1:15" s="184" customFormat="1">
      <c r="A130" s="855"/>
      <c r="B130" s="69"/>
      <c r="C130" s="30"/>
      <c r="D130" s="30"/>
      <c r="E130" s="683"/>
      <c r="F130" s="788"/>
      <c r="G130" s="779"/>
      <c r="H130" s="768"/>
      <c r="I130" s="789"/>
      <c r="J130" s="1030"/>
      <c r="K130" s="1046"/>
      <c r="L130" s="29"/>
      <c r="M130" s="683"/>
      <c r="N130" s="414"/>
      <c r="O130" s="30"/>
    </row>
    <row r="131" spans="1:15" s="184" customFormat="1">
      <c r="A131" s="855"/>
      <c r="B131" s="69"/>
      <c r="C131" s="30"/>
      <c r="D131" s="30"/>
      <c r="E131" s="683"/>
      <c r="F131" s="788"/>
      <c r="G131" s="779"/>
      <c r="H131" s="768"/>
      <c r="I131" s="789"/>
      <c r="J131" s="1030"/>
      <c r="K131" s="1046"/>
      <c r="L131" s="29"/>
      <c r="M131" s="683"/>
      <c r="N131" s="414"/>
      <c r="O131" s="30"/>
    </row>
    <row r="132" spans="1:15" s="184" customFormat="1" ht="214.35" customHeight="1">
      <c r="A132" s="855"/>
      <c r="B132" s="69"/>
      <c r="C132" s="30"/>
      <c r="D132" s="30"/>
      <c r="E132" s="683"/>
      <c r="F132" s="788"/>
      <c r="G132" s="779"/>
      <c r="H132" s="768"/>
      <c r="I132" s="789"/>
      <c r="J132" s="1030"/>
      <c r="K132" s="1046"/>
      <c r="L132" s="29"/>
      <c r="M132" s="683"/>
      <c r="N132" s="414"/>
      <c r="O132" s="30"/>
    </row>
    <row r="133" spans="1:15" s="184" customFormat="1" ht="219" customHeight="1">
      <c r="A133" s="855"/>
      <c r="B133" s="69"/>
      <c r="C133" s="30"/>
      <c r="D133" s="30"/>
      <c r="E133" s="683"/>
      <c r="F133" s="788"/>
      <c r="G133" s="779"/>
      <c r="H133" s="768"/>
      <c r="I133" s="789"/>
      <c r="J133" s="1030"/>
      <c r="K133" s="1046"/>
      <c r="L133" s="29"/>
      <c r="M133" s="683"/>
      <c r="N133" s="414"/>
      <c r="O133" s="30"/>
    </row>
    <row r="134" spans="1:15" s="545" customFormat="1" ht="193.35" customHeight="1">
      <c r="A134" s="855"/>
      <c r="B134" s="69"/>
      <c r="C134" s="71"/>
      <c r="D134" s="71"/>
      <c r="E134" s="597"/>
      <c r="F134" s="750"/>
      <c r="G134" s="776"/>
      <c r="H134" s="765"/>
      <c r="I134" s="726"/>
      <c r="J134" s="1030"/>
      <c r="K134" s="1046"/>
      <c r="L134" s="69"/>
      <c r="M134" s="597"/>
      <c r="N134" s="414"/>
      <c r="O134" s="30"/>
    </row>
    <row r="135" spans="1:15" s="545" customFormat="1" ht="170.1" customHeight="1">
      <c r="A135" s="855"/>
      <c r="B135" s="69"/>
      <c r="C135" s="71"/>
      <c r="D135" s="71"/>
      <c r="E135" s="597"/>
      <c r="F135" s="750"/>
      <c r="G135" s="776"/>
      <c r="H135" s="765"/>
      <c r="I135" s="726"/>
      <c r="J135" s="1030"/>
      <c r="K135" s="1046"/>
      <c r="L135" s="71"/>
      <c r="M135" s="597"/>
      <c r="N135" s="414"/>
      <c r="O135" s="30"/>
    </row>
    <row r="136" spans="1:15" s="75" customFormat="1" ht="41.85" customHeight="1">
      <c r="A136" s="855"/>
      <c r="B136" s="69"/>
      <c r="C136" s="71"/>
      <c r="D136" s="71"/>
      <c r="E136" s="597"/>
      <c r="F136" s="750"/>
      <c r="G136" s="776"/>
      <c r="H136" s="765"/>
      <c r="I136" s="726"/>
      <c r="J136" s="1030"/>
      <c r="K136" s="1046"/>
      <c r="L136" s="69"/>
      <c r="M136" s="597"/>
      <c r="N136" s="424"/>
      <c r="O136" s="71"/>
    </row>
    <row r="137" spans="1:15" s="75" customFormat="1" ht="66" customHeight="1">
      <c r="A137" s="855"/>
      <c r="B137" s="69"/>
      <c r="C137" s="71"/>
      <c r="D137" s="71"/>
      <c r="E137" s="597"/>
      <c r="F137" s="750"/>
      <c r="G137" s="776"/>
      <c r="H137" s="765"/>
      <c r="I137" s="726"/>
      <c r="J137" s="1030"/>
      <c r="K137" s="1046"/>
      <c r="L137" s="69"/>
      <c r="M137" s="597"/>
      <c r="N137" s="424"/>
      <c r="O137" s="71"/>
    </row>
    <row r="138" spans="1:15">
      <c r="B138" s="69"/>
      <c r="C138" s="71"/>
      <c r="D138" s="71"/>
      <c r="E138" s="597"/>
      <c r="F138" s="750"/>
      <c r="G138" s="776"/>
      <c r="H138" s="765"/>
      <c r="I138" s="726"/>
      <c r="J138" s="1030"/>
      <c r="K138" s="1046"/>
      <c r="L138" s="69"/>
      <c r="M138" s="597"/>
    </row>
    <row r="139" spans="1:15">
      <c r="B139" s="69"/>
      <c r="C139" s="71"/>
      <c r="D139" s="71"/>
      <c r="E139" s="597"/>
      <c r="F139" s="750"/>
      <c r="G139" s="776"/>
      <c r="H139" s="765"/>
      <c r="I139" s="726"/>
      <c r="J139" s="1030"/>
      <c r="K139" s="1046"/>
      <c r="L139" s="69"/>
      <c r="M139" s="597"/>
    </row>
    <row r="140" spans="1:15" s="545" customFormat="1" ht="81.75" customHeight="1">
      <c r="A140" s="855"/>
      <c r="B140" s="69"/>
      <c r="C140" s="71"/>
      <c r="D140" s="71"/>
      <c r="E140" s="597"/>
      <c r="F140" s="750"/>
      <c r="G140" s="776"/>
      <c r="H140" s="765"/>
      <c r="I140" s="726"/>
      <c r="J140" s="1030"/>
      <c r="K140" s="1046"/>
      <c r="L140" s="69"/>
      <c r="M140" s="597"/>
      <c r="N140" s="414"/>
      <c r="O140" s="30"/>
    </row>
    <row r="141" spans="1:15" s="545" customFormat="1">
      <c r="A141" s="855"/>
      <c r="B141" s="69"/>
      <c r="C141" s="71"/>
      <c r="D141" s="71"/>
      <c r="E141" s="597"/>
      <c r="F141" s="750"/>
      <c r="G141" s="776"/>
      <c r="H141" s="765"/>
      <c r="I141" s="726"/>
      <c r="J141" s="1030"/>
      <c r="K141" s="1046"/>
      <c r="L141" s="69"/>
      <c r="M141" s="597"/>
      <c r="N141" s="414"/>
      <c r="O141" s="30"/>
    </row>
    <row r="142" spans="1:15">
      <c r="B142" s="69"/>
      <c r="C142" s="71"/>
      <c r="D142" s="71"/>
      <c r="E142" s="597"/>
      <c r="F142" s="750"/>
      <c r="G142" s="776"/>
      <c r="H142" s="765"/>
      <c r="I142" s="726"/>
      <c r="J142" s="1030"/>
      <c r="K142" s="1046"/>
      <c r="L142" s="69"/>
      <c r="M142" s="597"/>
      <c r="N142" s="424"/>
    </row>
    <row r="143" spans="1:15">
      <c r="B143" s="69"/>
      <c r="C143" s="71"/>
      <c r="D143" s="71"/>
      <c r="E143" s="597"/>
      <c r="F143" s="750"/>
      <c r="G143" s="776"/>
      <c r="H143" s="765"/>
      <c r="I143" s="726"/>
      <c r="J143" s="1030"/>
      <c r="K143" s="1046"/>
      <c r="L143" s="69"/>
      <c r="M143" s="597"/>
      <c r="N143" s="424"/>
    </row>
    <row r="144" spans="1:15">
      <c r="A144" s="883"/>
      <c r="B144" s="799"/>
      <c r="C144" s="802"/>
      <c r="D144" s="802"/>
      <c r="E144" s="885"/>
      <c r="F144" s="884"/>
      <c r="G144" s="899"/>
      <c r="H144" s="901"/>
      <c r="J144" s="1030"/>
      <c r="K144" s="1046"/>
      <c r="L144" s="800"/>
      <c r="M144" s="885"/>
      <c r="N144" s="801"/>
    </row>
    <row r="145" spans="1:15">
      <c r="A145" s="883"/>
      <c r="B145" s="799"/>
      <c r="C145" s="802"/>
      <c r="D145" s="802"/>
      <c r="E145" s="885"/>
      <c r="F145" s="884"/>
      <c r="G145" s="899"/>
      <c r="H145" s="901"/>
      <c r="J145" s="1030"/>
      <c r="K145" s="1046"/>
      <c r="L145" s="800"/>
      <c r="M145" s="885"/>
      <c r="N145" s="801"/>
    </row>
    <row r="146" spans="1:15" s="545" customFormat="1" ht="99.75" customHeight="1">
      <c r="A146" s="869"/>
      <c r="B146" s="69"/>
      <c r="C146" s="71"/>
      <c r="D146" s="71"/>
      <c r="E146" s="597"/>
      <c r="F146" s="750"/>
      <c r="G146" s="776"/>
      <c r="H146" s="765"/>
      <c r="I146" s="726"/>
      <c r="J146" s="1030"/>
      <c r="K146" s="1046"/>
      <c r="L146" s="69"/>
      <c r="M146" s="597"/>
      <c r="N146" s="414"/>
      <c r="O146" s="30"/>
    </row>
    <row r="147" spans="1:15" s="545" customFormat="1" ht="401.85" customHeight="1">
      <c r="A147" s="869"/>
      <c r="B147" s="69"/>
      <c r="C147" s="71"/>
      <c r="D147" s="71"/>
      <c r="E147" s="597"/>
      <c r="F147" s="750"/>
      <c r="G147" s="776"/>
      <c r="H147" s="765"/>
      <c r="I147" s="726"/>
      <c r="J147" s="1030"/>
      <c r="K147" s="1046"/>
      <c r="L147" s="69"/>
      <c r="M147" s="597"/>
      <c r="N147" s="414"/>
      <c r="O147" s="30"/>
    </row>
    <row r="148" spans="1:15" ht="297" customHeight="1">
      <c r="B148" s="29"/>
      <c r="J148" s="1030"/>
      <c r="K148" s="1046"/>
    </row>
    <row r="149" spans="1:15">
      <c r="B149" s="69"/>
      <c r="C149" s="71"/>
      <c r="D149" s="71"/>
      <c r="E149" s="597"/>
      <c r="F149" s="750"/>
      <c r="G149" s="776"/>
      <c r="H149" s="765"/>
      <c r="I149" s="726"/>
      <c r="J149" s="1030"/>
      <c r="K149" s="1046"/>
      <c r="L149" s="69"/>
      <c r="M149" s="597"/>
      <c r="N149" s="424"/>
    </row>
    <row r="150" spans="1:15">
      <c r="B150" s="69"/>
      <c r="C150" s="71"/>
      <c r="D150" s="71"/>
      <c r="E150" s="597"/>
      <c r="F150" s="750"/>
      <c r="G150" s="776"/>
      <c r="H150" s="765"/>
      <c r="I150" s="726"/>
      <c r="J150" s="1030"/>
      <c r="K150" s="1046"/>
      <c r="L150" s="71"/>
      <c r="M150" s="597"/>
      <c r="N150" s="424"/>
    </row>
    <row r="151" spans="1:15" s="545" customFormat="1" ht="56.1" customHeight="1">
      <c r="A151" s="855"/>
      <c r="B151" s="69"/>
      <c r="C151" s="71"/>
      <c r="D151" s="71"/>
      <c r="E151" s="597"/>
      <c r="F151" s="750"/>
      <c r="G151" s="776"/>
      <c r="H151" s="765"/>
      <c r="I151" s="726"/>
      <c r="J151" s="1030"/>
      <c r="K151" s="1046"/>
      <c r="L151" s="71"/>
      <c r="M151" s="597"/>
      <c r="N151" s="424"/>
      <c r="O151" s="30"/>
    </row>
    <row r="152" spans="1:15" s="545" customFormat="1" ht="89.85" customHeight="1">
      <c r="A152" s="855"/>
      <c r="B152" s="69"/>
      <c r="C152" s="71"/>
      <c r="D152" s="71"/>
      <c r="E152" s="597"/>
      <c r="F152" s="750"/>
      <c r="G152" s="776"/>
      <c r="H152" s="765"/>
      <c r="I152" s="726"/>
      <c r="J152" s="1030"/>
      <c r="K152" s="1046"/>
      <c r="L152" s="71"/>
      <c r="M152" s="597"/>
      <c r="N152" s="424"/>
      <c r="O152" s="30"/>
    </row>
    <row r="153" spans="1:15">
      <c r="B153" s="69"/>
      <c r="J153" s="1030"/>
      <c r="K153" s="1046"/>
      <c r="N153" s="418"/>
    </row>
    <row r="154" spans="1:15" ht="206.1" customHeight="1">
      <c r="B154" s="69"/>
      <c r="J154" s="1030"/>
      <c r="K154" s="1046"/>
      <c r="L154" s="803"/>
      <c r="N154" s="415"/>
    </row>
    <row r="155" spans="1:15">
      <c r="B155" s="69"/>
      <c r="J155" s="1030"/>
      <c r="K155" s="1046"/>
      <c r="O155" s="476"/>
    </row>
    <row r="156" spans="1:15">
      <c r="B156" s="69"/>
      <c r="J156" s="1030"/>
      <c r="K156" s="1046"/>
    </row>
    <row r="157" spans="1:15">
      <c r="B157" s="69"/>
      <c r="J157" s="1030"/>
      <c r="K157" s="1046"/>
      <c r="L157" s="29"/>
    </row>
    <row r="158" spans="1:15">
      <c r="B158" s="69"/>
      <c r="J158" s="1030"/>
      <c r="K158" s="1046"/>
      <c r="L158" s="29"/>
    </row>
    <row r="159" spans="1:15" s="75" customFormat="1" ht="77.099999999999994" customHeight="1">
      <c r="A159" s="855"/>
      <c r="B159" s="69"/>
      <c r="C159" s="71"/>
      <c r="D159" s="71"/>
      <c r="E159" s="597"/>
      <c r="F159" s="750"/>
      <c r="G159" s="776"/>
      <c r="H159" s="765"/>
      <c r="I159" s="726"/>
      <c r="J159" s="1030"/>
      <c r="K159" s="1046"/>
      <c r="L159" s="69"/>
      <c r="M159" s="597"/>
      <c r="N159" s="424"/>
      <c r="O159" s="71"/>
    </row>
    <row r="160" spans="1:15" s="75" customFormat="1" ht="50.85" customHeight="1">
      <c r="A160" s="855"/>
      <c r="B160" s="69"/>
      <c r="C160" s="71"/>
      <c r="D160" s="71"/>
      <c r="E160" s="597"/>
      <c r="F160" s="750"/>
      <c r="G160" s="776"/>
      <c r="H160" s="765"/>
      <c r="I160" s="726"/>
      <c r="J160" s="1030"/>
      <c r="K160" s="1046"/>
      <c r="L160" s="69"/>
      <c r="M160" s="597"/>
      <c r="N160" s="424"/>
      <c r="O160" s="71"/>
    </row>
    <row r="161" spans="1:15" s="545" customFormat="1" ht="64.349999999999994" customHeight="1">
      <c r="A161" s="855"/>
      <c r="B161" s="69"/>
      <c r="C161" s="30"/>
      <c r="D161" s="30"/>
      <c r="E161" s="683"/>
      <c r="F161" s="788"/>
      <c r="G161" s="779"/>
      <c r="H161" s="768"/>
      <c r="I161" s="789"/>
      <c r="J161" s="1030"/>
      <c r="K161" s="1046"/>
      <c r="L161" s="29"/>
      <c r="M161" s="683"/>
      <c r="N161" s="414"/>
      <c r="O161" s="30"/>
    </row>
    <row r="162" spans="1:15" s="545" customFormat="1" ht="37.35" customHeight="1">
      <c r="A162" s="855"/>
      <c r="B162" s="69"/>
      <c r="C162" s="30"/>
      <c r="D162" s="30"/>
      <c r="E162" s="683"/>
      <c r="F162" s="788"/>
      <c r="G162" s="779"/>
      <c r="H162" s="768"/>
      <c r="I162" s="789"/>
      <c r="J162" s="1030"/>
      <c r="K162" s="1046"/>
      <c r="L162" s="29"/>
      <c r="M162" s="683"/>
      <c r="N162" s="414"/>
      <c r="O162" s="30"/>
    </row>
    <row r="163" spans="1:15">
      <c r="B163" s="69"/>
      <c r="J163" s="1030"/>
      <c r="K163" s="1046"/>
      <c r="L163" s="29"/>
      <c r="N163" s="424"/>
    </row>
    <row r="164" spans="1:15">
      <c r="B164" s="69"/>
      <c r="J164" s="1030"/>
      <c r="K164" s="1046"/>
      <c r="L164" s="29"/>
    </row>
    <row r="165" spans="1:15" ht="191.85" customHeight="1">
      <c r="B165" s="69"/>
      <c r="C165" s="71"/>
      <c r="D165" s="71"/>
      <c r="E165" s="597"/>
      <c r="F165" s="750"/>
      <c r="G165" s="776"/>
      <c r="H165" s="765"/>
      <c r="I165" s="726"/>
      <c r="J165" s="1030"/>
      <c r="K165" s="1046"/>
      <c r="L165" s="69"/>
      <c r="M165" s="597"/>
    </row>
    <row r="166" spans="1:15" ht="38.1" customHeight="1">
      <c r="B166" s="69"/>
      <c r="C166" s="71"/>
      <c r="D166" s="71"/>
      <c r="E166" s="597"/>
      <c r="F166" s="750"/>
      <c r="G166" s="776"/>
      <c r="H166" s="765"/>
      <c r="I166" s="726"/>
      <c r="J166" s="1030"/>
      <c r="K166" s="1046"/>
      <c r="L166" s="71"/>
      <c r="M166" s="597"/>
    </row>
    <row r="167" spans="1:15">
      <c r="B167" s="69"/>
      <c r="J167" s="1030"/>
      <c r="K167" s="1046"/>
      <c r="L167" s="29"/>
      <c r="N167" s="424"/>
    </row>
    <row r="168" spans="1:15">
      <c r="B168" s="69"/>
      <c r="J168" s="1030"/>
      <c r="K168" s="1046"/>
      <c r="L168" s="29"/>
    </row>
    <row r="169" spans="1:15" ht="14.45">
      <c r="B169" s="69"/>
      <c r="J169" s="1030"/>
      <c r="K169" s="1046"/>
      <c r="L169" s="29"/>
      <c r="N169" s="804"/>
    </row>
    <row r="170" spans="1:15" ht="14.45">
      <c r="B170" s="69"/>
      <c r="J170" s="1030"/>
      <c r="K170" s="1046"/>
      <c r="N170" s="433"/>
    </row>
    <row r="171" spans="1:15" ht="97.35" customHeight="1">
      <c r="A171" s="886"/>
      <c r="B171" s="795"/>
      <c r="C171" s="880"/>
      <c r="D171" s="880"/>
      <c r="E171" s="796"/>
      <c r="F171" s="881"/>
      <c r="G171" s="825"/>
      <c r="H171" s="826"/>
      <c r="I171" s="882"/>
      <c r="J171" s="1056"/>
      <c r="K171" s="1062"/>
      <c r="L171" s="795"/>
      <c r="M171" s="796"/>
      <c r="N171" s="790"/>
    </row>
    <row r="172" spans="1:15" ht="110.85" customHeight="1">
      <c r="A172" s="887"/>
      <c r="B172" s="805"/>
      <c r="C172" s="880"/>
      <c r="D172" s="880"/>
      <c r="E172" s="796"/>
      <c r="F172" s="888"/>
      <c r="G172" s="900"/>
      <c r="H172" s="902"/>
      <c r="I172" s="889"/>
      <c r="J172" s="1057"/>
      <c r="K172" s="1063"/>
      <c r="L172" s="805"/>
      <c r="M172" s="890"/>
      <c r="N172" s="806"/>
    </row>
    <row r="173" spans="1:15" s="56" customFormat="1" ht="75" customHeight="1">
      <c r="A173" s="891"/>
      <c r="B173" s="157"/>
      <c r="C173" s="880"/>
      <c r="D173" s="880"/>
      <c r="E173" s="796"/>
      <c r="F173" s="881"/>
      <c r="G173" s="825"/>
      <c r="H173" s="826"/>
      <c r="I173" s="882"/>
      <c r="J173" s="1056"/>
      <c r="K173" s="1062"/>
      <c r="L173" s="157"/>
      <c r="M173" s="892"/>
      <c r="N173" s="807"/>
      <c r="O173" s="209"/>
    </row>
    <row r="174" spans="1:15" s="893" customFormat="1" ht="106.35" customHeight="1">
      <c r="A174" s="887"/>
      <c r="B174" s="805"/>
      <c r="C174" s="880"/>
      <c r="D174" s="880"/>
      <c r="E174" s="796"/>
      <c r="F174" s="881"/>
      <c r="G174" s="825"/>
      <c r="H174" s="826"/>
      <c r="I174" s="882"/>
      <c r="J174" s="1056"/>
      <c r="K174" s="1062"/>
      <c r="L174" s="805"/>
      <c r="M174" s="890"/>
      <c r="N174" s="808"/>
      <c r="O174" s="809"/>
    </row>
    <row r="175" spans="1:15" s="35" customFormat="1" ht="14.45">
      <c r="A175" s="855"/>
      <c r="B175" s="879"/>
      <c r="C175" s="71"/>
      <c r="D175" s="71"/>
      <c r="E175" s="597"/>
      <c r="F175" s="750"/>
      <c r="G175" s="776"/>
      <c r="H175" s="765"/>
      <c r="I175" s="726"/>
      <c r="J175" s="1030"/>
      <c r="K175" s="1046"/>
      <c r="L175" s="69"/>
      <c r="M175" s="597"/>
      <c r="N175" s="790"/>
      <c r="O175" s="71"/>
    </row>
    <row r="176" spans="1:15" s="35" customFormat="1" ht="42.75" customHeight="1">
      <c r="A176" s="855"/>
      <c r="B176" s="879"/>
      <c r="C176" s="71"/>
      <c r="D176" s="71"/>
      <c r="E176" s="597"/>
      <c r="F176" s="750"/>
      <c r="G176" s="776"/>
      <c r="H176" s="765"/>
      <c r="I176" s="726"/>
      <c r="J176" s="1030"/>
      <c r="K176" s="1046"/>
      <c r="L176" s="69"/>
      <c r="M176" s="597"/>
      <c r="N176" s="790"/>
      <c r="O176" s="71"/>
    </row>
    <row r="177" spans="1:14" ht="14.45">
      <c r="B177" s="380"/>
      <c r="J177" s="1030"/>
      <c r="K177" s="1046"/>
      <c r="L177" s="29"/>
      <c r="N177" s="415"/>
    </row>
    <row r="178" spans="1:14" s="212" customFormat="1">
      <c r="A178" s="873"/>
      <c r="B178" s="218"/>
      <c r="C178" s="837"/>
      <c r="D178" s="837"/>
      <c r="E178" s="842"/>
      <c r="F178" s="838"/>
      <c r="G178" s="839"/>
      <c r="H178" s="840"/>
      <c r="I178" s="838"/>
      <c r="J178" s="1070"/>
      <c r="K178" s="1066"/>
      <c r="L178" s="229" t="s">
        <v>232</v>
      </c>
      <c r="M178" s="841">
        <f>SUM(M5:M174)</f>
        <v>46.8</v>
      </c>
      <c r="N178" s="708"/>
    </row>
    <row r="179" spans="1:14">
      <c r="A179" s="874"/>
      <c r="B179" s="218"/>
      <c r="C179" s="837"/>
      <c r="D179" s="837"/>
      <c r="E179" s="842"/>
      <c r="F179" s="838"/>
      <c r="G179" s="839"/>
      <c r="H179" s="840"/>
      <c r="I179" s="838"/>
      <c r="J179" s="1070"/>
      <c r="K179" s="1066"/>
      <c r="L179" s="222"/>
      <c r="M179" s="842"/>
      <c r="N179" s="415"/>
    </row>
    <row r="180" spans="1:14">
      <c r="A180" s="874"/>
      <c r="B180" s="206" t="s">
        <v>234</v>
      </c>
      <c r="C180" s="207"/>
      <c r="D180" s="207"/>
      <c r="E180" s="846"/>
      <c r="F180" s="843"/>
      <c r="G180" s="844"/>
      <c r="H180" s="845"/>
      <c r="I180" s="1059"/>
      <c r="J180" s="1058"/>
      <c r="K180" s="1064"/>
      <c r="L180" s="207"/>
      <c r="M180" s="846">
        <v>2.4700000000000002</v>
      </c>
    </row>
    <row r="181" spans="1:14">
      <c r="A181" s="874"/>
      <c r="B181" s="206" t="s">
        <v>235</v>
      </c>
      <c r="C181" s="207"/>
      <c r="D181" s="207"/>
      <c r="E181" s="846"/>
      <c r="F181" s="843"/>
      <c r="G181" s="844"/>
      <c r="H181" s="845"/>
      <c r="I181" s="1059"/>
      <c r="J181" s="1055"/>
      <c r="K181" s="1055"/>
      <c r="L181" s="207"/>
      <c r="M181" s="846">
        <v>0.79</v>
      </c>
    </row>
    <row r="182" spans="1:14">
      <c r="A182" s="874"/>
      <c r="B182" s="206" t="s">
        <v>236</v>
      </c>
      <c r="C182" s="207"/>
      <c r="D182" s="207"/>
      <c r="E182" s="846"/>
      <c r="F182" s="843"/>
      <c r="G182" s="844"/>
      <c r="H182" s="845"/>
      <c r="I182" s="1059"/>
      <c r="J182" s="1055"/>
      <c r="K182" s="1055"/>
      <c r="L182" s="207"/>
      <c r="M182" s="846">
        <v>0.3</v>
      </c>
    </row>
    <row r="183" spans="1:14">
      <c r="A183" s="874"/>
      <c r="B183" s="206" t="s">
        <v>237</v>
      </c>
      <c r="C183" s="207"/>
      <c r="D183" s="207"/>
      <c r="E183" s="846"/>
      <c r="F183" s="843"/>
      <c r="G183" s="844"/>
      <c r="H183" s="845"/>
      <c r="I183" s="1059"/>
      <c r="J183" s="1055"/>
      <c r="K183" s="1055"/>
      <c r="L183" s="207"/>
      <c r="M183" s="846"/>
    </row>
    <row r="184" spans="1:14">
      <c r="A184" s="874"/>
      <c r="B184" s="206" t="s">
        <v>163</v>
      </c>
      <c r="C184" s="207"/>
      <c r="D184" s="207"/>
      <c r="E184" s="846"/>
      <c r="F184" s="843"/>
      <c r="G184" s="844"/>
      <c r="H184" s="845"/>
      <c r="I184" s="1059"/>
      <c r="J184" s="1055"/>
      <c r="K184" s="1055"/>
      <c r="L184" s="207"/>
      <c r="M184" s="846">
        <v>4.12</v>
      </c>
    </row>
    <row r="185" spans="1:14">
      <c r="A185" s="874"/>
      <c r="B185" s="207"/>
      <c r="C185" s="207"/>
      <c r="D185" s="207"/>
      <c r="E185" s="846"/>
      <c r="F185" s="843"/>
      <c r="G185" s="844"/>
      <c r="H185" s="845"/>
      <c r="I185" s="1059"/>
      <c r="J185" s="1055"/>
      <c r="K185" s="1055"/>
      <c r="L185" s="207"/>
      <c r="M185" s="846"/>
    </row>
    <row r="186" spans="1:14">
      <c r="A186" s="874"/>
      <c r="B186" s="207"/>
      <c r="C186" s="207"/>
      <c r="D186" s="207"/>
      <c r="E186" s="846"/>
      <c r="F186" s="843"/>
      <c r="G186" s="844"/>
      <c r="H186" s="845"/>
      <c r="I186" s="1059"/>
      <c r="J186" s="1055"/>
      <c r="K186" s="1055"/>
      <c r="L186" s="216" t="s">
        <v>232</v>
      </c>
      <c r="M186" s="847">
        <f>SUM(M180:M185)</f>
        <v>7.68</v>
      </c>
    </row>
    <row r="187" spans="1:14">
      <c r="B187" s="210"/>
      <c r="C187" s="212"/>
      <c r="D187" s="212"/>
      <c r="E187" s="852"/>
      <c r="F187" s="848"/>
      <c r="G187" s="849"/>
      <c r="H187" s="850"/>
      <c r="I187" s="851"/>
      <c r="J187" s="1067"/>
      <c r="K187" s="1067"/>
      <c r="L187" s="212"/>
      <c r="M187" s="852"/>
    </row>
    <row r="188" spans="1:14" ht="42">
      <c r="L188" s="374" t="s">
        <v>238</v>
      </c>
      <c r="M188" s="853">
        <f>M178+M186</f>
        <v>54.48</v>
      </c>
    </row>
  </sheetData>
  <autoFilter ref="A1:O90" xr:uid="{40723A12-C666-46FF-8BD9-B2A2082984BD}"/>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27CA47-F0C4-4CC9-ABFD-8625FCAED2F5}">
  <dimension ref="A1:BL458"/>
  <sheetViews>
    <sheetView tabSelected="1" zoomScale="110" zoomScaleNormal="110" workbookViewId="0">
      <selection activeCell="J30" sqref="J30"/>
    </sheetView>
  </sheetViews>
  <sheetFormatPr defaultRowHeight="15" customHeight="1"/>
  <cols>
    <col min="2" max="2" width="35.5703125" customWidth="1"/>
    <col min="4" max="4" width="9.5703125" customWidth="1"/>
    <col min="5" max="5" width="15.28515625" customWidth="1"/>
    <col min="6" max="6" width="21.5703125" style="614" customWidth="1"/>
    <col min="7" max="7" width="13" customWidth="1"/>
    <col min="8" max="8" width="16.28515625" customWidth="1"/>
    <col min="9" max="9" width="14.7109375" customWidth="1"/>
    <col min="10" max="10" width="11.5703125" customWidth="1"/>
    <col min="11" max="12" width="13.140625" customWidth="1"/>
    <col min="14" max="14" width="38.28515625" customWidth="1"/>
  </cols>
  <sheetData>
    <row r="1" spans="1:18" ht="23.25" customHeight="1">
      <c r="A1" s="1421" t="s">
        <v>483</v>
      </c>
      <c r="B1" s="1421" t="s">
        <v>1</v>
      </c>
      <c r="C1" s="1421" t="s">
        <v>484</v>
      </c>
      <c r="D1" s="1421"/>
      <c r="E1" s="1421" t="s">
        <v>346</v>
      </c>
      <c r="F1" s="1422" t="s">
        <v>485</v>
      </c>
      <c r="G1" s="1378" t="s">
        <v>486</v>
      </c>
    </row>
    <row r="2" spans="1:18" ht="24.75" customHeight="1">
      <c r="A2" s="1200" t="s">
        <v>487</v>
      </c>
      <c r="B2" s="1200" t="s">
        <v>488</v>
      </c>
      <c r="C2" s="1386">
        <v>0.03</v>
      </c>
      <c r="D2" s="1387"/>
      <c r="E2" s="1200" t="s">
        <v>489</v>
      </c>
      <c r="F2" s="1508">
        <f>$J$9*C2</f>
        <v>2.4851999999999994</v>
      </c>
      <c r="G2" s="438">
        <v>0</v>
      </c>
      <c r="H2" t="s">
        <v>490</v>
      </c>
      <c r="I2" s="583" t="s">
        <v>491</v>
      </c>
      <c r="J2" s="18" t="s">
        <v>492</v>
      </c>
      <c r="K2" s="583" t="s">
        <v>493</v>
      </c>
      <c r="L2" s="822" t="s">
        <v>494</v>
      </c>
      <c r="M2" s="1423" t="s">
        <v>495</v>
      </c>
      <c r="N2" s="1424" t="s">
        <v>496</v>
      </c>
      <c r="O2" s="1425">
        <v>0.15</v>
      </c>
      <c r="P2" s="1426"/>
      <c r="Q2" s="1423" t="s">
        <v>497</v>
      </c>
      <c r="R2" s="1424"/>
    </row>
    <row r="3" spans="1:18" ht="13.5" customHeight="1">
      <c r="A3" s="1200" t="s">
        <v>487</v>
      </c>
      <c r="B3" s="1200" t="s">
        <v>488</v>
      </c>
      <c r="C3" s="1386"/>
      <c r="D3" s="1387"/>
      <c r="E3" s="1200" t="s">
        <v>489</v>
      </c>
      <c r="F3" s="1508"/>
      <c r="G3" s="438">
        <v>0</v>
      </c>
      <c r="H3" t="s">
        <v>498</v>
      </c>
      <c r="I3" s="1095" t="s">
        <v>499</v>
      </c>
      <c r="J3" s="710"/>
      <c r="K3" s="713">
        <v>1</v>
      </c>
      <c r="L3" s="713"/>
      <c r="M3" s="1423" t="s">
        <v>495</v>
      </c>
      <c r="N3" s="1423" t="s">
        <v>500</v>
      </c>
      <c r="O3" s="1425">
        <v>7.0000000000000007E-2</v>
      </c>
      <c r="P3" s="1426"/>
      <c r="Q3" s="1423" t="s">
        <v>501</v>
      </c>
      <c r="R3" s="1424"/>
    </row>
    <row r="4" spans="1:18" ht="13.5" customHeight="1">
      <c r="A4" s="1200"/>
      <c r="B4" s="1201" t="s">
        <v>502</v>
      </c>
      <c r="C4" s="1386">
        <v>0.01</v>
      </c>
      <c r="D4" s="1414"/>
      <c r="E4" s="1201" t="s">
        <v>489</v>
      </c>
      <c r="F4" s="1508">
        <f t="shared" ref="F4:F11" si="0">$J$9*C4</f>
        <v>0.82839999999999991</v>
      </c>
      <c r="G4" s="1240">
        <v>0</v>
      </c>
      <c r="I4" s="1095" t="s">
        <v>503</v>
      </c>
      <c r="J4" s="709">
        <v>19.739999999999998</v>
      </c>
      <c r="K4" s="713">
        <v>7.71</v>
      </c>
      <c r="L4" s="1520">
        <v>-4.18</v>
      </c>
      <c r="M4" s="1427" t="s">
        <v>495</v>
      </c>
      <c r="N4" s="1427" t="s">
        <v>504</v>
      </c>
      <c r="O4" s="1428">
        <v>7.0000000000000007E-2</v>
      </c>
      <c r="P4" s="1429"/>
      <c r="Q4" s="1430" t="s">
        <v>505</v>
      </c>
      <c r="R4" s="1431"/>
    </row>
    <row r="5" spans="1:18" ht="13.5" customHeight="1">
      <c r="A5" s="1200"/>
      <c r="B5" s="1201" t="s">
        <v>506</v>
      </c>
      <c r="C5" s="1386">
        <v>0.02</v>
      </c>
      <c r="D5" s="1414"/>
      <c r="E5" s="1201" t="s">
        <v>489</v>
      </c>
      <c r="F5" s="1508">
        <f t="shared" si="0"/>
        <v>1.6567999999999998</v>
      </c>
      <c r="G5" s="1240">
        <v>0</v>
      </c>
      <c r="I5" s="1095" t="s">
        <v>507</v>
      </c>
      <c r="J5" s="709">
        <v>46</v>
      </c>
      <c r="K5" s="713">
        <v>3.8</v>
      </c>
      <c r="L5" s="1521">
        <v>-2.6</v>
      </c>
      <c r="M5" s="1184" t="s">
        <v>495</v>
      </c>
      <c r="N5" s="1184" t="s">
        <v>508</v>
      </c>
      <c r="O5" s="1185">
        <v>0.15</v>
      </c>
      <c r="P5" s="1186"/>
      <c r="Q5" s="1187" t="s">
        <v>509</v>
      </c>
      <c r="R5" s="1187"/>
    </row>
    <row r="6" spans="1:18" ht="13.5" customHeight="1">
      <c r="A6" s="1200"/>
      <c r="B6" s="1201" t="s">
        <v>510</v>
      </c>
      <c r="C6" s="1386">
        <v>0.02</v>
      </c>
      <c r="D6" s="1414"/>
      <c r="E6" s="1201" t="s">
        <v>489</v>
      </c>
      <c r="F6" s="1508">
        <f t="shared" si="0"/>
        <v>1.6567999999999998</v>
      </c>
      <c r="G6" s="1240">
        <v>0</v>
      </c>
      <c r="I6" s="1096" t="s">
        <v>511</v>
      </c>
      <c r="J6" s="937">
        <v>2.5</v>
      </c>
      <c r="K6" s="713"/>
      <c r="L6" s="713"/>
    </row>
    <row r="7" spans="1:18" ht="13.5" customHeight="1">
      <c r="A7" s="1200"/>
      <c r="B7" s="1200" t="s">
        <v>512</v>
      </c>
      <c r="C7" s="1386">
        <v>0.02</v>
      </c>
      <c r="D7" s="1414"/>
      <c r="E7" s="1201" t="s">
        <v>489</v>
      </c>
      <c r="F7" s="1508">
        <f t="shared" si="0"/>
        <v>1.6567999999999998</v>
      </c>
      <c r="G7" s="438"/>
      <c r="I7" s="1096" t="s">
        <v>513</v>
      </c>
      <c r="J7" s="937">
        <v>0</v>
      </c>
      <c r="K7" s="713"/>
      <c r="L7" s="713"/>
    </row>
    <row r="8" spans="1:18" ht="13.5" customHeight="1">
      <c r="A8" s="1200"/>
      <c r="B8" s="1200" t="s">
        <v>514</v>
      </c>
      <c r="C8" s="1386">
        <v>0.03</v>
      </c>
      <c r="D8" s="1387"/>
      <c r="E8" s="1200" t="s">
        <v>489</v>
      </c>
      <c r="F8" s="1508">
        <f t="shared" si="0"/>
        <v>2.4851999999999994</v>
      </c>
      <c r="G8" s="438">
        <v>0</v>
      </c>
      <c r="H8" t="s">
        <v>490</v>
      </c>
      <c r="I8" s="1095" t="s">
        <v>490</v>
      </c>
      <c r="J8" s="709">
        <v>14.6</v>
      </c>
      <c r="K8" s="713">
        <v>0.5</v>
      </c>
      <c r="L8" s="1521">
        <v>-1.49</v>
      </c>
    </row>
    <row r="9" spans="1:18" ht="13.5" customHeight="1">
      <c r="A9" s="1200" t="s">
        <v>487</v>
      </c>
      <c r="B9" s="1200" t="s">
        <v>515</v>
      </c>
      <c r="C9" s="1386">
        <v>0.03</v>
      </c>
      <c r="D9" s="1387"/>
      <c r="E9" s="1200" t="s">
        <v>489</v>
      </c>
      <c r="F9" s="1508">
        <f t="shared" si="0"/>
        <v>2.4851999999999994</v>
      </c>
      <c r="G9" s="438">
        <v>0</v>
      </c>
      <c r="H9" t="s">
        <v>507</v>
      </c>
      <c r="I9" s="1097" t="s">
        <v>516</v>
      </c>
      <c r="J9" s="712">
        <f>SUM(J4:J8)</f>
        <v>82.839999999999989</v>
      </c>
      <c r="K9" s="711">
        <f>SUM(K3:K8)</f>
        <v>13.010000000000002</v>
      </c>
      <c r="L9" s="1614">
        <f>SUM(L3:L8)</f>
        <v>-8.27</v>
      </c>
    </row>
    <row r="10" spans="1:18" ht="13.5" customHeight="1">
      <c r="A10" s="1200"/>
      <c r="B10" s="1200" t="s">
        <v>517</v>
      </c>
      <c r="C10" s="1386">
        <v>0.02</v>
      </c>
      <c r="D10" s="1387"/>
      <c r="E10" s="1200" t="s">
        <v>489</v>
      </c>
      <c r="F10" s="1508">
        <f t="shared" si="0"/>
        <v>1.6567999999999998</v>
      </c>
      <c r="G10" s="438">
        <v>0</v>
      </c>
      <c r="H10" t="s">
        <v>518</v>
      </c>
      <c r="I10" s="1493"/>
      <c r="J10" s="1493"/>
      <c r="K10" s="1493"/>
    </row>
    <row r="11" spans="1:18" ht="13.5" customHeight="1">
      <c r="A11" s="1525" t="s">
        <v>487</v>
      </c>
      <c r="B11" s="1525" t="s">
        <v>519</v>
      </c>
      <c r="C11" s="1526">
        <v>0.06</v>
      </c>
      <c r="D11" s="1527"/>
      <c r="E11" s="1520" t="s">
        <v>489</v>
      </c>
      <c r="F11" s="1528">
        <f t="shared" si="0"/>
        <v>4.9703999999999988</v>
      </c>
      <c r="G11" s="570">
        <v>0</v>
      </c>
      <c r="H11" s="1634" t="s">
        <v>490</v>
      </c>
      <c r="I11" s="1493"/>
      <c r="J11" s="1493"/>
      <c r="K11" s="1493"/>
    </row>
    <row r="12" spans="1:18" ht="13.5" customHeight="1">
      <c r="A12" s="1525" t="s">
        <v>487</v>
      </c>
      <c r="B12" s="1525" t="s">
        <v>519</v>
      </c>
      <c r="C12" s="1526"/>
      <c r="D12" s="1527"/>
      <c r="E12" s="1520" t="s">
        <v>489</v>
      </c>
      <c r="F12" s="1528"/>
      <c r="G12" s="570">
        <v>3.24</v>
      </c>
      <c r="H12" s="1634" t="s">
        <v>507</v>
      </c>
      <c r="I12" s="1493"/>
      <c r="J12" s="1493"/>
      <c r="K12" s="1493"/>
    </row>
    <row r="13" spans="1:18" ht="13.5" customHeight="1">
      <c r="A13" s="1525" t="s">
        <v>487</v>
      </c>
      <c r="B13" s="1525" t="s">
        <v>519</v>
      </c>
      <c r="C13" s="1526"/>
      <c r="D13" s="1527"/>
      <c r="E13" s="1520" t="s">
        <v>489</v>
      </c>
      <c r="F13" s="1528"/>
      <c r="G13" s="570">
        <v>1.25</v>
      </c>
      <c r="H13" s="1634" t="s">
        <v>520</v>
      </c>
      <c r="I13" s="1493"/>
      <c r="J13" s="1493"/>
      <c r="K13" s="1493"/>
    </row>
    <row r="14" spans="1:18" ht="13.5" customHeight="1">
      <c r="A14" s="1200" t="s">
        <v>487</v>
      </c>
      <c r="B14" s="1200" t="s">
        <v>521</v>
      </c>
      <c r="C14" s="1386">
        <v>0.06</v>
      </c>
      <c r="D14" s="1387"/>
      <c r="E14" s="1201" t="s">
        <v>489</v>
      </c>
      <c r="F14" s="1508">
        <f>$J$9*C14</f>
        <v>4.9703999999999988</v>
      </c>
      <c r="G14" s="438"/>
      <c r="H14" s="156" t="s">
        <v>490</v>
      </c>
      <c r="I14" s="1493"/>
      <c r="J14" s="1493"/>
      <c r="K14" s="1493"/>
    </row>
    <row r="15" spans="1:18" ht="13.5" customHeight="1">
      <c r="A15" s="1200" t="s">
        <v>487</v>
      </c>
      <c r="B15" s="1200" t="s">
        <v>521</v>
      </c>
      <c r="C15" s="1386"/>
      <c r="D15" s="1387"/>
      <c r="E15" s="1201" t="s">
        <v>489</v>
      </c>
      <c r="F15" s="1508"/>
      <c r="G15" s="438"/>
      <c r="H15" s="156" t="s">
        <v>522</v>
      </c>
      <c r="I15" s="1493"/>
      <c r="J15" s="1493"/>
      <c r="K15" s="1493"/>
    </row>
    <row r="16" spans="1:18" ht="13.5" customHeight="1">
      <c r="A16" s="1200" t="s">
        <v>487</v>
      </c>
      <c r="B16" s="1200" t="s">
        <v>521</v>
      </c>
      <c r="C16" s="1386"/>
      <c r="D16" s="1387"/>
      <c r="E16" s="1201" t="s">
        <v>489</v>
      </c>
      <c r="F16" s="1508"/>
      <c r="G16" s="438">
        <v>0</v>
      </c>
      <c r="H16" s="156" t="s">
        <v>523</v>
      </c>
      <c r="I16" s="1493"/>
      <c r="J16" s="1493"/>
      <c r="K16" s="1493"/>
    </row>
    <row r="17" spans="1:64" ht="13.5" customHeight="1">
      <c r="A17" s="1200"/>
      <c r="B17" s="1200" t="s">
        <v>524</v>
      </c>
      <c r="C17" s="1386">
        <v>0.02</v>
      </c>
      <c r="D17" s="1387"/>
      <c r="E17" s="1201" t="s">
        <v>489</v>
      </c>
      <c r="F17" s="1508">
        <f t="shared" ref="F17:F25" si="1">$J$9*C17</f>
        <v>1.6567999999999998</v>
      </c>
      <c r="G17" s="438"/>
      <c r="H17" s="156"/>
      <c r="I17" s="1493"/>
      <c r="J17" s="1493"/>
      <c r="K17" s="1493"/>
    </row>
    <row r="18" spans="1:64" ht="13.5" customHeight="1">
      <c r="A18" s="1200" t="s">
        <v>487</v>
      </c>
      <c r="B18" s="1200" t="s">
        <v>525</v>
      </c>
      <c r="C18" s="1386">
        <v>0.02</v>
      </c>
      <c r="D18" s="1387"/>
      <c r="E18" s="1201" t="s">
        <v>489</v>
      </c>
      <c r="F18" s="1508">
        <f t="shared" si="1"/>
        <v>1.6567999999999998</v>
      </c>
      <c r="G18" s="438">
        <v>0</v>
      </c>
      <c r="H18" s="156"/>
      <c r="I18" s="1493"/>
      <c r="J18" s="1493"/>
      <c r="K18" s="1493"/>
    </row>
    <row r="19" spans="1:64" ht="13.5" customHeight="1">
      <c r="A19" s="1200"/>
      <c r="B19" s="1201" t="s">
        <v>526</v>
      </c>
      <c r="C19" s="1386">
        <v>0.04</v>
      </c>
      <c r="D19" s="1201"/>
      <c r="E19" s="1201" t="s">
        <v>489</v>
      </c>
      <c r="F19" s="1508">
        <f t="shared" si="1"/>
        <v>3.3135999999999997</v>
      </c>
      <c r="G19" s="1388">
        <v>0.32</v>
      </c>
      <c r="H19" s="156"/>
      <c r="I19" s="1501"/>
      <c r="J19" s="1501"/>
      <c r="K19" s="1501"/>
      <c r="L19" s="1500"/>
      <c r="M19" s="1500"/>
      <c r="N19" s="1500"/>
      <c r="O19" s="1500"/>
      <c r="P19" s="1500"/>
      <c r="Q19" s="1500"/>
      <c r="R19" s="1500"/>
      <c r="S19" s="1500"/>
      <c r="T19" s="1500"/>
      <c r="U19" s="1500"/>
      <c r="V19" s="1500"/>
      <c r="W19" s="1500"/>
      <c r="X19" s="1500"/>
      <c r="Y19" s="1500"/>
      <c r="Z19" s="1500"/>
      <c r="AA19" s="1500"/>
      <c r="AB19" s="1500"/>
      <c r="AC19" s="1500"/>
      <c r="AD19" s="1500"/>
      <c r="AE19" s="1500"/>
      <c r="AF19" s="1500"/>
      <c r="AG19" s="1500"/>
      <c r="AH19" s="1500"/>
      <c r="AI19" s="1500"/>
      <c r="AJ19" s="1500"/>
      <c r="AK19" s="1500"/>
      <c r="AL19" s="1500"/>
      <c r="AM19" s="1500"/>
      <c r="AN19" s="1500"/>
      <c r="AO19" s="1500"/>
      <c r="AP19" s="1500"/>
      <c r="AQ19" s="1500"/>
      <c r="AR19" s="1500"/>
      <c r="AS19" s="1500"/>
      <c r="AT19" s="1500"/>
      <c r="AU19" s="1500"/>
      <c r="AV19" s="1500"/>
      <c r="AW19" s="1500"/>
      <c r="AX19" s="1500"/>
      <c r="AY19" s="1500"/>
      <c r="AZ19" s="1500"/>
      <c r="BA19" s="1500"/>
      <c r="BB19" s="1500"/>
      <c r="BC19" s="1500"/>
      <c r="BD19" s="1500"/>
      <c r="BE19" s="1500"/>
      <c r="BF19" s="1500"/>
      <c r="BG19" s="1500"/>
      <c r="BH19" s="1500"/>
      <c r="BI19" s="1500"/>
      <c r="BJ19" s="1500"/>
      <c r="BK19" s="1500"/>
      <c r="BL19" s="1500"/>
    </row>
    <row r="20" spans="1:64" ht="13.5" customHeight="1">
      <c r="A20" s="1200"/>
      <c r="B20" s="1201" t="s">
        <v>527</v>
      </c>
      <c r="C20" s="1386">
        <v>0.02</v>
      </c>
      <c r="D20" s="1414"/>
      <c r="E20" s="1201" t="s">
        <v>489</v>
      </c>
      <c r="F20" s="1508">
        <f t="shared" si="1"/>
        <v>1.6567999999999998</v>
      </c>
      <c r="G20" s="1240"/>
      <c r="I20" s="1501"/>
      <c r="J20" s="1501"/>
      <c r="K20" s="1501"/>
      <c r="L20" s="1500"/>
      <c r="M20" s="1500"/>
      <c r="N20" s="1500"/>
      <c r="O20" s="1500"/>
      <c r="P20" s="1500"/>
      <c r="Q20" s="1500"/>
      <c r="R20" s="1500"/>
      <c r="S20" s="1500"/>
      <c r="T20" s="1500"/>
      <c r="U20" s="1500"/>
      <c r="V20" s="1500"/>
      <c r="W20" s="1500"/>
      <c r="X20" s="1500"/>
      <c r="Y20" s="1500"/>
      <c r="Z20" s="1500"/>
      <c r="AA20" s="1500"/>
      <c r="AB20" s="1500"/>
      <c r="AC20" s="1500"/>
      <c r="AD20" s="1500"/>
      <c r="AE20" s="1500"/>
      <c r="AF20" s="1500"/>
      <c r="AG20" s="1500"/>
      <c r="AH20" s="1500"/>
      <c r="AI20" s="1500"/>
      <c r="AJ20" s="1500"/>
      <c r="AK20" s="1500"/>
      <c r="AL20" s="1500"/>
      <c r="AM20" s="1500"/>
      <c r="AN20" s="1500"/>
      <c r="AO20" s="1500"/>
      <c r="AP20" s="1500"/>
      <c r="AQ20" s="1500"/>
      <c r="AR20" s="1500"/>
      <c r="AS20" s="1500"/>
      <c r="AT20" s="1500"/>
      <c r="AU20" s="1500"/>
      <c r="AV20" s="1500"/>
      <c r="AW20" s="1500"/>
      <c r="AX20" s="1500"/>
      <c r="AY20" s="1500"/>
      <c r="AZ20" s="1500"/>
      <c r="BA20" s="1500"/>
      <c r="BB20" s="1500"/>
      <c r="BC20" s="1500"/>
      <c r="BD20" s="1500"/>
      <c r="BE20" s="1500"/>
      <c r="BF20" s="1500"/>
      <c r="BG20" s="1500"/>
      <c r="BH20" s="1500"/>
      <c r="BI20" s="1500"/>
      <c r="BJ20" s="1500"/>
      <c r="BK20" s="1500"/>
      <c r="BL20" s="1500"/>
    </row>
    <row r="21" spans="1:64" ht="13.5" customHeight="1">
      <c r="A21" s="1200"/>
      <c r="B21" s="1201" t="s">
        <v>23</v>
      </c>
      <c r="C21" s="1386">
        <v>0.02</v>
      </c>
      <c r="D21" s="1414"/>
      <c r="E21" s="1201" t="s">
        <v>489</v>
      </c>
      <c r="F21" s="1508">
        <f t="shared" si="1"/>
        <v>1.6567999999999998</v>
      </c>
      <c r="G21" s="1240"/>
      <c r="H21" t="s">
        <v>507</v>
      </c>
      <c r="I21" s="1501"/>
      <c r="J21" s="1501"/>
      <c r="K21" s="1501"/>
      <c r="L21" s="1500"/>
      <c r="M21" s="1500"/>
      <c r="N21" s="1500"/>
      <c r="O21" s="1500"/>
      <c r="P21" s="1500"/>
      <c r="Q21" s="1500"/>
      <c r="R21" s="1500"/>
      <c r="S21" s="1500"/>
      <c r="T21" s="1500"/>
      <c r="U21" s="1500"/>
      <c r="V21" s="1500"/>
      <c r="W21" s="1500"/>
      <c r="X21" s="1500"/>
      <c r="Y21" s="1500"/>
      <c r="Z21" s="1500"/>
      <c r="AA21" s="1500"/>
      <c r="AB21" s="1500"/>
      <c r="AC21" s="1500"/>
      <c r="AD21" s="1500"/>
      <c r="AE21" s="1500"/>
      <c r="AF21" s="1500"/>
      <c r="AG21" s="1500"/>
      <c r="AH21" s="1500"/>
      <c r="AI21" s="1500"/>
      <c r="AJ21" s="1500"/>
      <c r="AK21" s="1500"/>
      <c r="AL21" s="1500"/>
      <c r="AM21" s="1500"/>
      <c r="AN21" s="1500"/>
      <c r="AO21" s="1500"/>
      <c r="AP21" s="1500"/>
      <c r="AQ21" s="1500"/>
      <c r="AR21" s="1500"/>
      <c r="AS21" s="1500"/>
      <c r="AT21" s="1500"/>
      <c r="AU21" s="1500"/>
      <c r="AV21" s="1500"/>
      <c r="AW21" s="1500"/>
      <c r="AX21" s="1500"/>
      <c r="AY21" s="1500"/>
      <c r="AZ21" s="1500"/>
      <c r="BA21" s="1500"/>
      <c r="BB21" s="1500"/>
      <c r="BC21" s="1500"/>
      <c r="BD21" s="1500"/>
      <c r="BE21" s="1500"/>
      <c r="BF21" s="1500"/>
      <c r="BG21" s="1500"/>
      <c r="BH21" s="1500"/>
      <c r="BI21" s="1500"/>
      <c r="BJ21" s="1500"/>
      <c r="BK21" s="1500"/>
      <c r="BL21" s="1500"/>
    </row>
    <row r="22" spans="1:64" ht="13.5" customHeight="1">
      <c r="A22" s="1200"/>
      <c r="B22" s="1201" t="s">
        <v>528</v>
      </c>
      <c r="C22" s="1386">
        <v>0.02</v>
      </c>
      <c r="D22" s="1414"/>
      <c r="E22" s="1201" t="s">
        <v>489</v>
      </c>
      <c r="F22" s="1508">
        <f t="shared" si="1"/>
        <v>1.6567999999999998</v>
      </c>
      <c r="G22" s="1240">
        <v>1.07</v>
      </c>
      <c r="H22" t="s">
        <v>507</v>
      </c>
      <c r="I22" s="1501"/>
      <c r="J22" s="1501"/>
      <c r="K22" s="1501"/>
      <c r="L22" s="1500"/>
      <c r="M22" s="1500"/>
      <c r="N22" s="1500"/>
      <c r="O22" s="1500"/>
      <c r="P22" s="1500"/>
      <c r="Q22" s="1500"/>
      <c r="R22" s="1500"/>
      <c r="S22" s="1500"/>
      <c r="T22" s="1500"/>
      <c r="U22" s="1500"/>
      <c r="V22" s="1500"/>
      <c r="W22" s="1500"/>
      <c r="X22" s="1500"/>
      <c r="Y22" s="1500"/>
      <c r="Z22" s="1500"/>
      <c r="AA22" s="1500"/>
      <c r="AB22" s="1500"/>
      <c r="AC22" s="1500"/>
      <c r="AD22" s="1500"/>
      <c r="AE22" s="1500"/>
      <c r="AF22" s="1500"/>
      <c r="AG22" s="1500"/>
      <c r="AH22" s="1500"/>
      <c r="AI22" s="1500"/>
      <c r="AJ22" s="1500"/>
      <c r="AK22" s="1500"/>
      <c r="AL22" s="1500"/>
      <c r="AM22" s="1500"/>
      <c r="AN22" s="1500"/>
      <c r="AO22" s="1500"/>
      <c r="AP22" s="1500"/>
      <c r="AQ22" s="1500"/>
      <c r="AR22" s="1500"/>
      <c r="AS22" s="1500"/>
      <c r="AT22" s="1500"/>
      <c r="AU22" s="1500"/>
      <c r="AV22" s="1500"/>
      <c r="AW22" s="1500"/>
      <c r="AX22" s="1500"/>
      <c r="AY22" s="1500"/>
      <c r="AZ22" s="1500"/>
      <c r="BA22" s="1500"/>
      <c r="BB22" s="1500"/>
      <c r="BC22" s="1500"/>
      <c r="BD22" s="1500"/>
      <c r="BE22" s="1500"/>
      <c r="BF22" s="1500"/>
      <c r="BG22" s="1500"/>
      <c r="BH22" s="1500"/>
      <c r="BI22" s="1500"/>
      <c r="BJ22" s="1500"/>
      <c r="BK22" s="1500"/>
      <c r="BL22" s="1500"/>
    </row>
    <row r="23" spans="1:64" ht="13.5" customHeight="1">
      <c r="A23" s="1200"/>
      <c r="B23" s="1414" t="s">
        <v>529</v>
      </c>
      <c r="C23" s="1412">
        <v>0.06</v>
      </c>
      <c r="D23" s="1413"/>
      <c r="E23" s="1201" t="s">
        <v>489</v>
      </c>
      <c r="F23" s="1508">
        <f t="shared" si="1"/>
        <v>4.9703999999999988</v>
      </c>
      <c r="G23" s="1240">
        <v>0</v>
      </c>
      <c r="H23" t="s">
        <v>490</v>
      </c>
      <c r="I23" s="1493"/>
      <c r="J23" s="1493"/>
      <c r="K23" s="1493"/>
    </row>
    <row r="24" spans="1:64" ht="13.5" customHeight="1">
      <c r="A24" s="1200"/>
      <c r="B24" s="1201" t="s">
        <v>530</v>
      </c>
      <c r="C24" s="1386">
        <v>0.01</v>
      </c>
      <c r="D24" s="1201"/>
      <c r="E24" s="1201" t="s">
        <v>489</v>
      </c>
      <c r="F24" s="1508">
        <f t="shared" si="1"/>
        <v>0.82839999999999991</v>
      </c>
      <c r="G24" s="1388">
        <v>0</v>
      </c>
      <c r="H24" t="s">
        <v>531</v>
      </c>
      <c r="I24" s="1493"/>
      <c r="J24" s="1493"/>
      <c r="K24" s="1493"/>
    </row>
    <row r="25" spans="1:64" ht="13.5" customHeight="1">
      <c r="A25" s="1200"/>
      <c r="B25" s="1201" t="s">
        <v>532</v>
      </c>
      <c r="C25" s="1386">
        <v>0.01</v>
      </c>
      <c r="D25" s="1201"/>
      <c r="E25" s="1201" t="s">
        <v>489</v>
      </c>
      <c r="F25" s="1508">
        <f t="shared" si="1"/>
        <v>0.82839999999999991</v>
      </c>
      <c r="G25" s="1388">
        <v>0</v>
      </c>
      <c r="H25" t="s">
        <v>490</v>
      </c>
      <c r="I25" s="1493"/>
      <c r="J25" s="1493"/>
      <c r="K25" s="1493"/>
    </row>
    <row r="26" spans="1:64" ht="13.5" customHeight="1">
      <c r="A26" s="1200"/>
      <c r="B26" s="1201" t="s">
        <v>532</v>
      </c>
      <c r="C26" s="1386"/>
      <c r="D26" s="1201"/>
      <c r="E26" s="1201" t="s">
        <v>489</v>
      </c>
      <c r="F26" s="1508"/>
      <c r="G26" s="1388">
        <v>0</v>
      </c>
      <c r="H26" t="s">
        <v>507</v>
      </c>
      <c r="I26" s="1493"/>
      <c r="J26" s="1493"/>
      <c r="K26" s="1493"/>
    </row>
    <row r="27" spans="1:64" ht="13.5" customHeight="1">
      <c r="A27" s="1200"/>
      <c r="B27" s="1201" t="s">
        <v>533</v>
      </c>
      <c r="C27" s="1386"/>
      <c r="D27" s="1201"/>
      <c r="E27" s="1201" t="s">
        <v>97</v>
      </c>
      <c r="F27" s="1508"/>
      <c r="G27" s="1388"/>
      <c r="I27" s="1493"/>
      <c r="J27" s="1493"/>
      <c r="K27" s="1493"/>
    </row>
    <row r="28" spans="1:64" ht="13.5" customHeight="1">
      <c r="A28" s="1200"/>
      <c r="B28" s="1201" t="s">
        <v>534</v>
      </c>
      <c r="C28" s="1386"/>
      <c r="D28" s="1201"/>
      <c r="E28" s="1201"/>
      <c r="F28" s="1508"/>
      <c r="G28" s="1388"/>
      <c r="I28" s="1493"/>
      <c r="J28" s="1493"/>
      <c r="K28" s="1493"/>
    </row>
    <row r="29" spans="1:64" ht="13.5" customHeight="1">
      <c r="A29" s="1200"/>
      <c r="B29" s="1201" t="s">
        <v>535</v>
      </c>
      <c r="C29" s="1386"/>
      <c r="D29" s="1201"/>
      <c r="E29" s="1201"/>
      <c r="F29" s="1508"/>
      <c r="G29" s="1388"/>
      <c r="I29" s="1493"/>
      <c r="J29" s="1493"/>
      <c r="K29" s="1493"/>
    </row>
    <row r="30" spans="1:64" ht="13.5" customHeight="1">
      <c r="A30" s="1200"/>
      <c r="B30" s="1201"/>
      <c r="C30" s="1386"/>
      <c r="D30" s="1201"/>
      <c r="E30" s="1201"/>
      <c r="F30" s="1508"/>
      <c r="G30" s="1388"/>
      <c r="I30" s="1493"/>
      <c r="J30" s="1493"/>
      <c r="K30" s="1493"/>
    </row>
    <row r="31" spans="1:64" ht="13.5" customHeight="1">
      <c r="A31" s="1200"/>
      <c r="B31" s="1201"/>
      <c r="C31" s="1386"/>
      <c r="D31" s="1201"/>
      <c r="E31" s="1201"/>
      <c r="F31" s="1508"/>
      <c r="G31" s="1388"/>
      <c r="I31" s="1493"/>
      <c r="J31" s="1493"/>
      <c r="K31" s="1493"/>
    </row>
    <row r="32" spans="1:64" ht="13.5" customHeight="1">
      <c r="A32" s="1200"/>
      <c r="B32" s="1200"/>
      <c r="C32" s="1386"/>
      <c r="D32" s="1387"/>
      <c r="E32" s="1201"/>
      <c r="F32" s="1508"/>
      <c r="G32" s="438"/>
      <c r="I32" s="1493"/>
      <c r="J32" s="1493"/>
      <c r="K32" s="1493"/>
    </row>
    <row r="33" spans="1:11" s="1500" customFormat="1" ht="13.5" customHeight="1">
      <c r="A33" s="1494"/>
      <c r="B33" s="1494"/>
      <c r="C33" s="1495">
        <f>SUM(C2:C32)</f>
        <v>0.52</v>
      </c>
      <c r="D33" s="1496"/>
      <c r="E33" s="1494"/>
      <c r="F33" s="1494" t="s">
        <v>536</v>
      </c>
      <c r="G33" s="1494">
        <f>SUM(G2:G32)</f>
        <v>5.8800000000000008</v>
      </c>
      <c r="I33" s="1501"/>
      <c r="J33" s="1501"/>
      <c r="K33" s="1501"/>
    </row>
    <row r="34" spans="1:11" ht="13.5" customHeight="1">
      <c r="A34" s="1497"/>
      <c r="B34" s="1497"/>
      <c r="C34" s="1498"/>
      <c r="D34" s="1499"/>
      <c r="E34" s="1497"/>
      <c r="F34" s="1497"/>
      <c r="G34" s="1497"/>
      <c r="H34" t="s">
        <v>537</v>
      </c>
      <c r="I34" s="1493"/>
      <c r="J34" s="1493"/>
      <c r="K34" s="1493"/>
    </row>
    <row r="35" spans="1:11" ht="17.25" customHeight="1">
      <c r="A35" s="1525" t="s">
        <v>487</v>
      </c>
      <c r="B35" s="1525" t="s">
        <v>538</v>
      </c>
      <c r="C35" s="1526">
        <v>0.05</v>
      </c>
      <c r="D35" s="1527"/>
      <c r="E35" s="1525" t="s">
        <v>539</v>
      </c>
      <c r="F35" s="1528">
        <f>$J$9*C35</f>
        <v>4.1419999999999995</v>
      </c>
      <c r="G35" s="570">
        <v>0.83</v>
      </c>
      <c r="H35" t="s">
        <v>531</v>
      </c>
    </row>
    <row r="36" spans="1:11" ht="17.25" customHeight="1">
      <c r="A36" s="1525" t="s">
        <v>487</v>
      </c>
      <c r="B36" s="1525" t="s">
        <v>538</v>
      </c>
      <c r="C36" s="1526"/>
      <c r="D36" s="1527"/>
      <c r="E36" s="1525" t="s">
        <v>539</v>
      </c>
      <c r="F36" s="1528"/>
      <c r="G36" s="570">
        <v>0.8</v>
      </c>
      <c r="H36" t="s">
        <v>498</v>
      </c>
    </row>
    <row r="37" spans="1:11" ht="17.25" customHeight="1">
      <c r="A37" s="1525" t="s">
        <v>487</v>
      </c>
      <c r="B37" s="1525" t="s">
        <v>538</v>
      </c>
      <c r="C37" s="1526"/>
      <c r="D37" s="1527"/>
      <c r="E37" s="1525" t="s">
        <v>539</v>
      </c>
      <c r="F37" s="1528"/>
      <c r="G37" s="570">
        <v>0.15</v>
      </c>
      <c r="H37" t="s">
        <v>490</v>
      </c>
    </row>
    <row r="38" spans="1:11" ht="17.25" customHeight="1">
      <c r="A38" s="673" t="s">
        <v>487</v>
      </c>
      <c r="B38" s="673" t="s">
        <v>540</v>
      </c>
      <c r="C38" s="1180">
        <v>0.02</v>
      </c>
      <c r="D38" s="1120"/>
      <c r="E38" s="673" t="s">
        <v>539</v>
      </c>
      <c r="F38" s="974">
        <f>$J$9*C38</f>
        <v>1.6567999999999998</v>
      </c>
      <c r="G38" s="575">
        <v>0.38</v>
      </c>
      <c r="H38" t="s">
        <v>507</v>
      </c>
    </row>
    <row r="39" spans="1:11" ht="15" customHeight="1">
      <c r="A39" s="673" t="s">
        <v>487</v>
      </c>
      <c r="B39" s="673" t="s">
        <v>540</v>
      </c>
      <c r="C39" s="1180">
        <v>0.02</v>
      </c>
      <c r="D39" s="1120"/>
      <c r="E39" s="673" t="s">
        <v>539</v>
      </c>
      <c r="F39" s="974">
        <f>$J$9*C39</f>
        <v>1.6567999999999998</v>
      </c>
      <c r="G39" s="575">
        <v>0</v>
      </c>
      <c r="H39" t="s">
        <v>490</v>
      </c>
    </row>
    <row r="40" spans="1:11" ht="15" customHeight="1">
      <c r="A40" s="673"/>
      <c r="B40" s="681" t="s">
        <v>541</v>
      </c>
      <c r="C40" s="1510"/>
      <c r="D40" s="681"/>
      <c r="E40" s="673" t="s">
        <v>539</v>
      </c>
      <c r="F40" s="974">
        <f>$J$9*C40</f>
        <v>0</v>
      </c>
      <c r="G40" s="443">
        <v>0.2</v>
      </c>
      <c r="H40" t="s">
        <v>507</v>
      </c>
    </row>
    <row r="41" spans="1:11" ht="20.25" customHeight="1">
      <c r="A41" s="673"/>
      <c r="B41" s="673" t="s">
        <v>406</v>
      </c>
      <c r="C41" s="1180"/>
      <c r="D41" s="1384"/>
      <c r="E41" s="673" t="s">
        <v>539</v>
      </c>
      <c r="F41" s="974">
        <f>$J$9*C41</f>
        <v>0</v>
      </c>
      <c r="G41" s="575">
        <v>0</v>
      </c>
      <c r="H41" t="s">
        <v>542</v>
      </c>
    </row>
    <row r="42" spans="1:11" ht="20.25" customHeight="1">
      <c r="A42" s="673" t="s">
        <v>487</v>
      </c>
      <c r="B42" s="673" t="s">
        <v>543</v>
      </c>
      <c r="C42" s="1180">
        <v>0.02</v>
      </c>
      <c r="D42" s="1120"/>
      <c r="E42" s="673" t="s">
        <v>539</v>
      </c>
      <c r="F42" s="974">
        <f>$J$9*C42</f>
        <v>1.6567999999999998</v>
      </c>
      <c r="G42" s="575">
        <v>0</v>
      </c>
      <c r="H42" t="s">
        <v>507</v>
      </c>
    </row>
    <row r="43" spans="1:11" ht="15" customHeight="1">
      <c r="A43" s="673" t="s">
        <v>487</v>
      </c>
      <c r="B43" s="673" t="s">
        <v>543</v>
      </c>
      <c r="C43" s="1180">
        <v>0.02</v>
      </c>
      <c r="D43" s="1120"/>
      <c r="E43" s="673" t="s">
        <v>539</v>
      </c>
      <c r="F43" s="974"/>
      <c r="G43" s="575">
        <v>0</v>
      </c>
    </row>
    <row r="44" spans="1:11" ht="15" customHeight="1">
      <c r="A44" s="673" t="s">
        <v>487</v>
      </c>
      <c r="B44" s="673" t="s">
        <v>544</v>
      </c>
      <c r="C44" s="1180">
        <v>0.03</v>
      </c>
      <c r="D44" s="1120"/>
      <c r="E44" s="673" t="s">
        <v>539</v>
      </c>
      <c r="F44" s="974">
        <f>$J$9*C44</f>
        <v>2.4851999999999994</v>
      </c>
      <c r="G44" s="575">
        <v>0.18</v>
      </c>
      <c r="H44" t="s">
        <v>531</v>
      </c>
    </row>
    <row r="45" spans="1:11" ht="25.5" customHeight="1">
      <c r="A45" s="673" t="s">
        <v>487</v>
      </c>
      <c r="B45" s="673" t="s">
        <v>544</v>
      </c>
      <c r="C45" s="1180">
        <v>0.03</v>
      </c>
      <c r="D45" s="1120"/>
      <c r="E45" s="673" t="s">
        <v>539</v>
      </c>
      <c r="F45" s="974"/>
      <c r="G45" s="575">
        <v>0</v>
      </c>
      <c r="H45" s="156" t="s">
        <v>545</v>
      </c>
    </row>
    <row r="46" spans="1:11" ht="15" customHeight="1">
      <c r="A46" s="673"/>
      <c r="B46" s="1511" t="s">
        <v>546</v>
      </c>
      <c r="C46" s="614"/>
      <c r="D46" s="614"/>
      <c r="E46" s="614"/>
      <c r="G46" s="1123">
        <v>0.23</v>
      </c>
      <c r="H46" t="s">
        <v>531</v>
      </c>
    </row>
    <row r="47" spans="1:11" ht="15" customHeight="1">
      <c r="A47" s="673"/>
      <c r="B47" s="1511" t="s">
        <v>546</v>
      </c>
      <c r="C47" s="614"/>
      <c r="D47" s="614"/>
      <c r="E47" s="614"/>
      <c r="G47" s="1123">
        <v>0.26</v>
      </c>
      <c r="H47" t="s">
        <v>507</v>
      </c>
    </row>
    <row r="48" spans="1:11" s="156" customFormat="1" ht="21" customHeight="1">
      <c r="A48" s="673" t="s">
        <v>487</v>
      </c>
      <c r="B48" s="1525" t="s">
        <v>547</v>
      </c>
      <c r="C48" s="1526">
        <v>0.06</v>
      </c>
      <c r="D48" s="1527"/>
      <c r="E48" s="1520" t="s">
        <v>539</v>
      </c>
      <c r="F48" s="1528">
        <f>$J$9*C48</f>
        <v>4.9703999999999988</v>
      </c>
      <c r="G48" s="570">
        <v>1.77</v>
      </c>
      <c r="H48" s="156" t="s">
        <v>507</v>
      </c>
    </row>
    <row r="49" spans="1:10" s="156" customFormat="1" ht="16.5" customHeight="1">
      <c r="A49" s="673" t="s">
        <v>487</v>
      </c>
      <c r="B49" s="1525" t="s">
        <v>547</v>
      </c>
      <c r="C49" s="1526"/>
      <c r="D49" s="1527"/>
      <c r="E49" s="1520" t="s">
        <v>539</v>
      </c>
      <c r="F49" s="1528">
        <f>$J$9*C49</f>
        <v>0</v>
      </c>
      <c r="G49" s="570">
        <v>2.4900000000000002</v>
      </c>
      <c r="H49" s="156" t="s">
        <v>490</v>
      </c>
    </row>
    <row r="50" spans="1:10" s="156" customFormat="1" ht="16.5" customHeight="1">
      <c r="A50" s="673" t="s">
        <v>487</v>
      </c>
      <c r="B50" s="1525" t="s">
        <v>547</v>
      </c>
      <c r="C50" s="1526"/>
      <c r="D50" s="1527"/>
      <c r="E50" s="1520" t="s">
        <v>539</v>
      </c>
      <c r="F50" s="1528">
        <f>$J$9*C50</f>
        <v>0</v>
      </c>
      <c r="G50" s="570">
        <v>0.54</v>
      </c>
      <c r="H50" s="156" t="s">
        <v>537</v>
      </c>
    </row>
    <row r="51" spans="1:10" s="1503" customFormat="1" ht="16.5" customHeight="1">
      <c r="A51" s="1502"/>
      <c r="B51" s="1502"/>
      <c r="C51" s="1509">
        <f>SUM(C35:C50)</f>
        <v>0.25</v>
      </c>
      <c r="D51" s="1502"/>
      <c r="E51" s="1502"/>
      <c r="F51" s="1502" t="s">
        <v>539</v>
      </c>
      <c r="G51" s="1502">
        <f>SUM(G35:G50)</f>
        <v>7.830000000000001</v>
      </c>
    </row>
    <row r="52" spans="1:10" s="156" customFormat="1" ht="16.5" customHeight="1">
      <c r="A52" s="1504"/>
      <c r="B52" s="1504"/>
      <c r="C52" s="1504"/>
      <c r="D52" s="1504"/>
      <c r="E52" s="1504"/>
      <c r="F52" s="1504"/>
      <c r="G52" s="1504"/>
      <c r="H52" t="s">
        <v>507</v>
      </c>
    </row>
    <row r="53" spans="1:10" s="156" customFormat="1" ht="15" customHeight="1">
      <c r="A53" s="673" t="s">
        <v>487</v>
      </c>
      <c r="B53" s="673" t="s">
        <v>548</v>
      </c>
      <c r="C53" s="1180">
        <v>0.04</v>
      </c>
      <c r="D53" s="1529"/>
      <c r="E53" s="1511" t="s">
        <v>549</v>
      </c>
      <c r="F53" s="974">
        <f t="shared" ref="F53:F66" si="2">$J$9*C53</f>
        <v>3.3135999999999997</v>
      </c>
      <c r="G53" s="575">
        <v>0</v>
      </c>
      <c r="H53" t="s">
        <v>523</v>
      </c>
    </row>
    <row r="54" spans="1:10" s="156" customFormat="1" ht="15" customHeight="1">
      <c r="A54" s="673" t="s">
        <v>487</v>
      </c>
      <c r="B54" s="673" t="s">
        <v>548</v>
      </c>
      <c r="C54" s="1180"/>
      <c r="D54" s="1529"/>
      <c r="E54" s="1511" t="s">
        <v>549</v>
      </c>
      <c r="F54" s="974">
        <f t="shared" si="2"/>
        <v>0</v>
      </c>
      <c r="G54" s="575">
        <v>0</v>
      </c>
      <c r="H54" s="156" t="s">
        <v>507</v>
      </c>
    </row>
    <row r="55" spans="1:10" s="156" customFormat="1" ht="15" customHeight="1">
      <c r="A55" s="1525" t="s">
        <v>487</v>
      </c>
      <c r="B55" s="1525" t="s">
        <v>550</v>
      </c>
      <c r="C55" s="1526">
        <v>0.04</v>
      </c>
      <c r="D55" s="1527"/>
      <c r="E55" s="1633" t="s">
        <v>549</v>
      </c>
      <c r="F55" s="1528">
        <f t="shared" si="2"/>
        <v>3.3135999999999997</v>
      </c>
      <c r="G55" s="570">
        <v>1.59</v>
      </c>
      <c r="H55" s="1634" t="s">
        <v>551</v>
      </c>
    </row>
    <row r="56" spans="1:10" ht="14.45">
      <c r="A56" s="1525" t="s">
        <v>487</v>
      </c>
      <c r="B56" s="1525" t="s">
        <v>550</v>
      </c>
      <c r="C56" s="1526"/>
      <c r="D56" s="1527"/>
      <c r="E56" s="1633" t="s">
        <v>549</v>
      </c>
      <c r="F56" s="1528">
        <f t="shared" si="2"/>
        <v>0</v>
      </c>
      <c r="G56" s="570">
        <f>1.28+0.4</f>
        <v>1.6800000000000002</v>
      </c>
      <c r="H56" s="202" t="s">
        <v>507</v>
      </c>
    </row>
    <row r="57" spans="1:10" ht="14.45">
      <c r="A57" s="673" t="s">
        <v>487</v>
      </c>
      <c r="B57" s="614" t="s">
        <v>552</v>
      </c>
      <c r="C57" s="1510">
        <v>0.03</v>
      </c>
      <c r="D57" s="1529"/>
      <c r="E57" s="614" t="s">
        <v>549</v>
      </c>
      <c r="F57" s="974">
        <f t="shared" si="2"/>
        <v>2.4851999999999994</v>
      </c>
      <c r="G57" s="443">
        <v>0</v>
      </c>
    </row>
    <row r="58" spans="1:10" ht="15.6">
      <c r="A58" s="673" t="s">
        <v>487</v>
      </c>
      <c r="B58" s="681" t="s">
        <v>53</v>
      </c>
      <c r="C58" s="1510">
        <v>0.03</v>
      </c>
      <c r="D58" s="681"/>
      <c r="E58" s="681" t="s">
        <v>549</v>
      </c>
      <c r="F58" s="974">
        <f t="shared" si="2"/>
        <v>2.4851999999999994</v>
      </c>
      <c r="G58" s="443">
        <v>0</v>
      </c>
      <c r="H58" t="s">
        <v>507</v>
      </c>
      <c r="I58" s="1433" t="s">
        <v>232</v>
      </c>
      <c r="J58" s="1434">
        <f>G72+G95+G114+G122</f>
        <v>80.38000000000001</v>
      </c>
    </row>
    <row r="59" spans="1:10" ht="18.600000000000001">
      <c r="A59" s="673" t="s">
        <v>487</v>
      </c>
      <c r="B59" s="681" t="s">
        <v>53</v>
      </c>
      <c r="C59" s="1510"/>
      <c r="D59" s="681"/>
      <c r="E59" s="681" t="s">
        <v>549</v>
      </c>
      <c r="F59" s="974">
        <f t="shared" si="2"/>
        <v>0</v>
      </c>
      <c r="G59" s="443">
        <v>0</v>
      </c>
      <c r="H59" t="s">
        <v>490</v>
      </c>
      <c r="I59" s="1435" t="s">
        <v>553</v>
      </c>
      <c r="J59" s="1435">
        <v>2.5299999999999998</v>
      </c>
    </row>
    <row r="60" spans="1:10" ht="18.600000000000001">
      <c r="A60" s="673" t="s">
        <v>487</v>
      </c>
      <c r="B60" s="681" t="s">
        <v>53</v>
      </c>
      <c r="C60" s="1510"/>
      <c r="D60" s="681"/>
      <c r="E60" s="681" t="s">
        <v>549</v>
      </c>
      <c r="F60" s="974">
        <f t="shared" si="2"/>
        <v>0</v>
      </c>
      <c r="G60" s="443">
        <v>0</v>
      </c>
      <c r="I60" s="84"/>
      <c r="J60" s="1436">
        <f>SUM(J58:J59)</f>
        <v>82.910000000000011</v>
      </c>
    </row>
    <row r="61" spans="1:10" ht="14.45">
      <c r="A61" s="673"/>
      <c r="B61" s="681" t="s">
        <v>554</v>
      </c>
      <c r="C61" s="1510">
        <v>0.06</v>
      </c>
      <c r="D61" s="681"/>
      <c r="E61" s="681" t="s">
        <v>549</v>
      </c>
      <c r="F61" s="974">
        <f t="shared" si="2"/>
        <v>4.9703999999999988</v>
      </c>
      <c r="G61" s="443">
        <v>0</v>
      </c>
      <c r="H61" t="s">
        <v>490</v>
      </c>
    </row>
    <row r="62" spans="1:10" ht="14.45">
      <c r="A62" s="673"/>
      <c r="B62" s="681" t="s">
        <v>554</v>
      </c>
      <c r="C62" s="1510"/>
      <c r="D62" s="681"/>
      <c r="E62" s="681" t="s">
        <v>549</v>
      </c>
      <c r="F62" s="974">
        <f t="shared" si="2"/>
        <v>0</v>
      </c>
      <c r="G62" s="443">
        <v>0</v>
      </c>
      <c r="H62" s="1038"/>
    </row>
    <row r="63" spans="1:10" ht="14.45">
      <c r="A63" s="673" t="s">
        <v>487</v>
      </c>
      <c r="B63" s="681" t="s">
        <v>410</v>
      </c>
      <c r="C63" s="1510">
        <v>0.03</v>
      </c>
      <c r="D63" s="681"/>
      <c r="E63" s="681" t="s">
        <v>549</v>
      </c>
      <c r="F63" s="974">
        <f t="shared" si="2"/>
        <v>2.4851999999999994</v>
      </c>
      <c r="G63" s="443">
        <v>0</v>
      </c>
      <c r="H63" t="s">
        <v>531</v>
      </c>
    </row>
    <row r="64" spans="1:10" ht="14.45">
      <c r="A64" s="673" t="s">
        <v>487</v>
      </c>
      <c r="B64" s="1633" t="s">
        <v>555</v>
      </c>
      <c r="C64" s="1637">
        <v>0.03</v>
      </c>
      <c r="D64" s="1633"/>
      <c r="E64" s="1633" t="s">
        <v>549</v>
      </c>
      <c r="F64" s="1528">
        <f t="shared" si="2"/>
        <v>2.4851999999999994</v>
      </c>
      <c r="G64" s="567">
        <v>1.1599999999999999</v>
      </c>
      <c r="H64" s="202" t="s">
        <v>490</v>
      </c>
    </row>
    <row r="65" spans="1:8" ht="14.45">
      <c r="A65" s="673" t="s">
        <v>487</v>
      </c>
      <c r="B65" s="1633" t="s">
        <v>555</v>
      </c>
      <c r="C65" s="1637"/>
      <c r="D65" s="1633"/>
      <c r="E65" s="1633" t="s">
        <v>549</v>
      </c>
      <c r="F65" s="1528">
        <f t="shared" si="2"/>
        <v>0</v>
      </c>
      <c r="G65" s="567">
        <v>1.28</v>
      </c>
      <c r="H65" s="202" t="s">
        <v>507</v>
      </c>
    </row>
    <row r="66" spans="1:8" ht="14.45">
      <c r="A66" s="673" t="s">
        <v>487</v>
      </c>
      <c r="B66" s="1633" t="s">
        <v>275</v>
      </c>
      <c r="C66" s="1637">
        <v>0.02</v>
      </c>
      <c r="D66" s="1633"/>
      <c r="E66" s="1633" t="s">
        <v>549</v>
      </c>
      <c r="F66" s="1528">
        <f t="shared" si="2"/>
        <v>1.6567999999999998</v>
      </c>
      <c r="G66" s="567">
        <v>2.5</v>
      </c>
      <c r="H66" s="202" t="s">
        <v>556</v>
      </c>
    </row>
    <row r="67" spans="1:8">
      <c r="A67" s="673"/>
      <c r="B67" s="1633" t="s">
        <v>275</v>
      </c>
      <c r="C67" s="1637">
        <v>0.02</v>
      </c>
      <c r="D67" s="1633"/>
      <c r="E67" s="1633" t="s">
        <v>549</v>
      </c>
      <c r="F67" s="1528">
        <f t="shared" ref="F67" si="3">$J$9*C67</f>
        <v>1.6567999999999998</v>
      </c>
      <c r="G67" s="567">
        <v>1.8</v>
      </c>
      <c r="H67" s="202" t="s">
        <v>498</v>
      </c>
    </row>
    <row r="68" spans="1:8" ht="14.45">
      <c r="A68" s="673"/>
      <c r="B68" s="1520" t="s">
        <v>557</v>
      </c>
      <c r="C68" s="1635"/>
      <c r="D68" s="1635"/>
      <c r="E68" s="1633" t="s">
        <v>549</v>
      </c>
      <c r="F68" s="1635"/>
      <c r="G68" s="1520">
        <v>0</v>
      </c>
      <c r="H68" s="1636" t="s">
        <v>522</v>
      </c>
    </row>
    <row r="69" spans="1:8" ht="14.45">
      <c r="A69" s="673"/>
      <c r="B69" s="1520" t="s">
        <v>557</v>
      </c>
      <c r="C69" s="1635"/>
      <c r="D69" s="1635"/>
      <c r="E69" s="1633" t="s">
        <v>549</v>
      </c>
      <c r="F69" s="1635"/>
      <c r="G69" s="1520">
        <v>0.66</v>
      </c>
      <c r="H69" s="1636" t="s">
        <v>531</v>
      </c>
    </row>
    <row r="70" spans="1:8" ht="14.45">
      <c r="A70" s="1505"/>
      <c r="B70" s="1506"/>
      <c r="C70" s="1236">
        <f>SUM(C53:C66)</f>
        <v>0.28000000000000003</v>
      </c>
      <c r="D70" s="585"/>
      <c r="E70" s="585"/>
      <c r="F70" s="18" t="s">
        <v>505</v>
      </c>
      <c r="G70" s="18">
        <f>SUM(G53:G69)</f>
        <v>10.670000000000002</v>
      </c>
    </row>
    <row r="71" spans="1:8" s="1500" customFormat="1" ht="14.45">
      <c r="A71" s="1531"/>
      <c r="B71" s="1532"/>
      <c r="C71" s="1533"/>
      <c r="D71" s="1534"/>
      <c r="E71" s="1534"/>
      <c r="F71" s="1535"/>
      <c r="G71" s="1535"/>
    </row>
    <row r="72" spans="1:8" ht="18.600000000000001">
      <c r="A72" s="1385"/>
      <c r="B72" s="1438"/>
      <c r="C72" s="1530"/>
      <c r="D72" s="1438"/>
      <c r="E72" s="1507" t="s">
        <v>558</v>
      </c>
      <c r="F72" s="1507">
        <f>SUM(F2:F66)</f>
        <v>82.84</v>
      </c>
      <c r="G72" s="1507">
        <f>G33+G51+G70</f>
        <v>24.380000000000003</v>
      </c>
    </row>
    <row r="73" spans="1:8" ht="14.45">
      <c r="A73" s="1385"/>
      <c r="B73" s="1438"/>
      <c r="C73" s="1439"/>
      <c r="D73" s="1438"/>
      <c r="E73" s="1440"/>
      <c r="F73" s="1249"/>
      <c r="G73" s="1249"/>
    </row>
    <row r="74" spans="1:8" ht="14.45">
      <c r="A74" s="1676" t="s">
        <v>559</v>
      </c>
      <c r="B74" s="1677"/>
      <c r="C74" s="1677"/>
      <c r="D74" s="1677"/>
      <c r="E74" s="1677"/>
      <c r="F74" s="1678"/>
      <c r="G74" s="1432"/>
      <c r="H74" t="s">
        <v>490</v>
      </c>
    </row>
    <row r="75" spans="1:8" ht="14.45">
      <c r="A75" s="969" t="s">
        <v>487</v>
      </c>
      <c r="B75" s="404" t="s">
        <v>219</v>
      </c>
      <c r="C75" s="1417"/>
      <c r="D75" s="1418"/>
      <c r="E75" s="969" t="s">
        <v>539</v>
      </c>
      <c r="F75" s="400"/>
      <c r="G75" s="1244">
        <v>0</v>
      </c>
    </row>
    <row r="76" spans="1:8" ht="14.45">
      <c r="A76" s="1638" t="s">
        <v>487</v>
      </c>
      <c r="B76" s="1442" t="s">
        <v>219</v>
      </c>
      <c r="C76" s="1639"/>
      <c r="D76" s="1640"/>
      <c r="E76" s="1638" t="s">
        <v>539</v>
      </c>
      <c r="F76" s="1111"/>
      <c r="G76" s="567">
        <v>0.51</v>
      </c>
      <c r="H76" s="202" t="s">
        <v>490</v>
      </c>
    </row>
    <row r="77" spans="1:8" ht="14.45">
      <c r="A77" s="969"/>
      <c r="B77" s="404" t="s">
        <v>560</v>
      </c>
      <c r="C77" s="1417"/>
      <c r="D77" s="1418"/>
      <c r="E77" s="969"/>
      <c r="F77" s="400"/>
      <c r="G77" s="1244">
        <v>0.95</v>
      </c>
      <c r="H77" t="s">
        <v>507</v>
      </c>
    </row>
    <row r="78" spans="1:8" ht="14.45">
      <c r="A78" s="969"/>
      <c r="B78" s="1442" t="s">
        <v>209</v>
      </c>
      <c r="C78" s="1639"/>
      <c r="D78" s="1640"/>
      <c r="E78" s="1638"/>
      <c r="F78" s="1111"/>
      <c r="G78" s="567">
        <v>0.26</v>
      </c>
      <c r="H78" s="202" t="s">
        <v>537</v>
      </c>
    </row>
    <row r="79" spans="1:8" ht="14.45">
      <c r="A79" s="969"/>
      <c r="B79" s="1442" t="s">
        <v>209</v>
      </c>
      <c r="C79" s="1639"/>
      <c r="D79" s="1640"/>
      <c r="E79" s="1638"/>
      <c r="F79" s="1111"/>
      <c r="G79" s="567">
        <v>0.95</v>
      </c>
      <c r="H79" s="202" t="s">
        <v>507</v>
      </c>
    </row>
    <row r="80" spans="1:8" ht="14.45">
      <c r="A80" s="969"/>
      <c r="B80" s="1416" t="s">
        <v>313</v>
      </c>
      <c r="C80" s="1416"/>
      <c r="D80" s="1416"/>
      <c r="E80" s="1415" t="s">
        <v>549</v>
      </c>
      <c r="F80" s="1416"/>
      <c r="G80" s="1249">
        <v>0.92</v>
      </c>
      <c r="H80" t="s">
        <v>490</v>
      </c>
    </row>
    <row r="81" spans="1:10" ht="14.45">
      <c r="A81" s="969"/>
      <c r="B81" s="1416" t="s">
        <v>313</v>
      </c>
      <c r="C81" s="1416"/>
      <c r="D81" s="1416"/>
      <c r="E81" s="1415" t="s">
        <v>549</v>
      </c>
      <c r="F81" s="1416"/>
      <c r="G81" s="1249">
        <v>1.94</v>
      </c>
      <c r="H81" t="s">
        <v>507</v>
      </c>
    </row>
    <row r="82" spans="1:10" ht="14.45">
      <c r="A82" s="969"/>
      <c r="B82" s="1416" t="s">
        <v>313</v>
      </c>
      <c r="C82" s="1416"/>
      <c r="D82" s="1416"/>
      <c r="E82" s="1415" t="s">
        <v>549</v>
      </c>
      <c r="F82" s="1416"/>
      <c r="G82" s="1249">
        <v>1.49</v>
      </c>
      <c r="H82" t="s">
        <v>531</v>
      </c>
      <c r="J82" s="1441"/>
    </row>
    <row r="83" spans="1:10" ht="14.45">
      <c r="A83" s="969"/>
      <c r="B83" s="1416" t="s">
        <v>561</v>
      </c>
      <c r="C83" s="1416"/>
      <c r="D83" s="1416"/>
      <c r="E83" s="1415" t="s">
        <v>549</v>
      </c>
      <c r="F83" s="1416"/>
      <c r="G83" s="1249">
        <v>0</v>
      </c>
      <c r="H83" t="s">
        <v>562</v>
      </c>
    </row>
    <row r="84" spans="1:10" ht="14.45">
      <c r="A84" s="969"/>
      <c r="B84" s="400" t="s">
        <v>563</v>
      </c>
      <c r="C84" s="400"/>
      <c r="D84" s="400"/>
      <c r="E84" s="400"/>
      <c r="F84" s="400"/>
      <c r="G84" s="443">
        <v>0.45</v>
      </c>
      <c r="H84" t="s">
        <v>507</v>
      </c>
    </row>
    <row r="85" spans="1:10" ht="14.45">
      <c r="A85" s="969"/>
      <c r="B85" s="400" t="s">
        <v>563</v>
      </c>
      <c r="C85" s="400"/>
      <c r="D85" s="400"/>
      <c r="E85" s="400"/>
      <c r="F85" s="400"/>
      <c r="G85" s="443">
        <v>0.77</v>
      </c>
      <c r="H85" t="s">
        <v>537</v>
      </c>
    </row>
    <row r="86" spans="1:10" ht="14.45">
      <c r="A86" s="969"/>
      <c r="B86" s="1111" t="s">
        <v>564</v>
      </c>
      <c r="C86" s="1442"/>
      <c r="D86" s="1442"/>
      <c r="E86" s="1442"/>
      <c r="F86" s="1442"/>
      <c r="G86" s="567">
        <v>3.66</v>
      </c>
      <c r="H86" s="202" t="s">
        <v>490</v>
      </c>
    </row>
    <row r="87" spans="1:10" ht="14.45">
      <c r="A87" s="969"/>
      <c r="B87" s="400" t="s">
        <v>565</v>
      </c>
      <c r="C87" s="404"/>
      <c r="D87" s="404"/>
      <c r="E87" s="404"/>
      <c r="F87" s="404"/>
      <c r="G87" s="443">
        <v>1.1200000000000001</v>
      </c>
      <c r="H87" t="s">
        <v>507</v>
      </c>
    </row>
    <row r="88" spans="1:10" ht="14.45">
      <c r="A88" s="969"/>
      <c r="B88" s="400" t="s">
        <v>566</v>
      </c>
      <c r="C88" s="404"/>
      <c r="D88" s="404"/>
      <c r="E88" s="404"/>
      <c r="F88" s="404"/>
      <c r="G88" s="443">
        <v>0.46</v>
      </c>
    </row>
    <row r="89" spans="1:10" ht="14.45">
      <c r="A89" s="969"/>
      <c r="B89" s="400" t="s">
        <v>567</v>
      </c>
      <c r="C89" s="404"/>
      <c r="D89" s="404"/>
      <c r="E89" s="404"/>
      <c r="F89" s="404"/>
      <c r="G89" s="443">
        <v>0</v>
      </c>
      <c r="H89" t="s">
        <v>507</v>
      </c>
    </row>
    <row r="90" spans="1:10" ht="14.45">
      <c r="A90" s="969"/>
      <c r="B90" s="400" t="s">
        <v>568</v>
      </c>
      <c r="C90" s="404"/>
      <c r="D90" s="404"/>
      <c r="E90" s="404"/>
      <c r="F90" s="404"/>
      <c r="G90" s="443">
        <f>0.85+0.48</f>
        <v>1.33</v>
      </c>
      <c r="H90" t="s">
        <v>507</v>
      </c>
    </row>
    <row r="91" spans="1:10" ht="14.45">
      <c r="A91" s="969"/>
      <c r="B91" s="400" t="s">
        <v>568</v>
      </c>
      <c r="C91" s="404"/>
      <c r="D91" s="404"/>
      <c r="E91" s="404"/>
      <c r="F91" s="404"/>
      <c r="G91" s="443">
        <v>0.7</v>
      </c>
      <c r="H91" t="s">
        <v>531</v>
      </c>
    </row>
    <row r="92" spans="1:10" ht="14.45">
      <c r="A92" s="969"/>
      <c r="B92" s="1111" t="s">
        <v>207</v>
      </c>
      <c r="C92" s="1442"/>
      <c r="D92" s="1442"/>
      <c r="E92" s="1442"/>
      <c r="F92" s="1442"/>
      <c r="G92" s="567">
        <v>1.38</v>
      </c>
    </row>
    <row r="93" spans="1:10" ht="14.45">
      <c r="A93" s="969"/>
      <c r="B93" s="1111" t="s">
        <v>569</v>
      </c>
      <c r="C93" s="1111"/>
      <c r="D93" s="1111"/>
      <c r="E93" s="1111"/>
      <c r="F93" s="1111"/>
      <c r="G93" s="567">
        <v>0.56999999999999995</v>
      </c>
      <c r="H93" s="1394" t="s">
        <v>490</v>
      </c>
    </row>
    <row r="94" spans="1:10" ht="14.45">
      <c r="A94" s="969"/>
      <c r="B94" s="1111" t="s">
        <v>569</v>
      </c>
      <c r="C94" s="1111"/>
      <c r="D94" s="1111"/>
      <c r="E94" s="1111"/>
      <c r="F94" s="1111"/>
      <c r="G94" s="567">
        <v>0.53</v>
      </c>
      <c r="H94" s="1394" t="s">
        <v>507</v>
      </c>
    </row>
    <row r="95" spans="1:10" ht="21">
      <c r="A95" s="575"/>
      <c r="B95" s="1"/>
      <c r="C95" s="1419"/>
      <c r="D95" s="584"/>
      <c r="E95" s="1"/>
      <c r="F95" s="1437" t="s">
        <v>559</v>
      </c>
      <c r="G95" s="1437">
        <f>SUM(G76:G94)</f>
        <v>17.990000000000002</v>
      </c>
    </row>
    <row r="96" spans="1:10" ht="14.45">
      <c r="A96" s="575"/>
      <c r="B96" s="1673" t="s">
        <v>570</v>
      </c>
      <c r="C96" s="1674"/>
      <c r="D96" s="1674"/>
      <c r="E96" s="1674"/>
      <c r="F96" s="1675"/>
      <c r="H96" s="1256" t="s">
        <v>571</v>
      </c>
    </row>
    <row r="97" spans="1:8" ht="14.45">
      <c r="A97" s="1253" t="s">
        <v>487</v>
      </c>
      <c r="B97" s="1170" t="s">
        <v>572</v>
      </c>
      <c r="C97" s="1254"/>
      <c r="D97" s="1171">
        <v>464</v>
      </c>
      <c r="E97" s="1170" t="s">
        <v>573</v>
      </c>
      <c r="F97" s="1170"/>
      <c r="G97" s="1170">
        <v>2</v>
      </c>
      <c r="H97" t="s">
        <v>545</v>
      </c>
    </row>
    <row r="98" spans="1:8" ht="14.45">
      <c r="A98" s="1253" t="s">
        <v>487</v>
      </c>
      <c r="B98" s="1170" t="s">
        <v>572</v>
      </c>
      <c r="C98" s="1254"/>
      <c r="D98" s="1171">
        <v>464</v>
      </c>
      <c r="E98" s="1170" t="s">
        <v>573</v>
      </c>
      <c r="F98" s="1170"/>
      <c r="G98" s="1170">
        <v>2</v>
      </c>
      <c r="H98" s="378" t="s">
        <v>507</v>
      </c>
    </row>
    <row r="99" spans="1:8" ht="33" customHeight="1">
      <c r="A99" s="1253" t="s">
        <v>487</v>
      </c>
      <c r="B99" s="1170" t="s">
        <v>171</v>
      </c>
      <c r="C99" s="1171"/>
      <c r="D99" s="1171">
        <v>223</v>
      </c>
      <c r="E99" s="1170" t="s">
        <v>573</v>
      </c>
      <c r="F99" s="1170"/>
      <c r="G99" s="1170">
        <v>4.32</v>
      </c>
      <c r="H99" s="378" t="s">
        <v>507</v>
      </c>
    </row>
    <row r="100" spans="1:8" ht="33" customHeight="1">
      <c r="A100" s="1253"/>
      <c r="B100" s="1170" t="s">
        <v>574</v>
      </c>
      <c r="C100" s="1632"/>
      <c r="D100" s="1632"/>
      <c r="E100" s="1170" t="s">
        <v>573</v>
      </c>
      <c r="F100" s="1170"/>
      <c r="G100" s="1170">
        <v>3.03</v>
      </c>
      <c r="H100" s="879" t="s">
        <v>507</v>
      </c>
    </row>
    <row r="101" spans="1:8" ht="20.25" customHeight="1">
      <c r="A101" s="1253"/>
      <c r="B101" s="1170" t="s">
        <v>574</v>
      </c>
      <c r="C101" s="1632"/>
      <c r="D101" s="1632"/>
      <c r="E101" s="1170" t="s">
        <v>573</v>
      </c>
      <c r="F101" s="1170"/>
      <c r="G101" s="1170">
        <v>3.03</v>
      </c>
      <c r="H101" s="879" t="s">
        <v>490</v>
      </c>
    </row>
    <row r="102" spans="1:8" ht="14.45">
      <c r="A102" s="1253"/>
      <c r="B102" s="1170" t="s">
        <v>575</v>
      </c>
      <c r="C102" s="1171"/>
      <c r="D102" s="1171"/>
      <c r="E102" s="1170" t="s">
        <v>573</v>
      </c>
      <c r="F102" s="1170"/>
      <c r="G102" s="1170">
        <v>1.31</v>
      </c>
      <c r="H102" s="380"/>
    </row>
    <row r="103" spans="1:8" ht="14.45">
      <c r="A103" s="1253"/>
      <c r="B103" s="1170" t="s">
        <v>223</v>
      </c>
      <c r="C103" s="1171"/>
      <c r="D103" s="1171" t="s">
        <v>576</v>
      </c>
      <c r="E103" s="1170" t="s">
        <v>573</v>
      </c>
      <c r="F103" s="1170"/>
      <c r="G103" s="1170">
        <v>5.22</v>
      </c>
      <c r="H103" s="380" t="s">
        <v>507</v>
      </c>
    </row>
    <row r="104" spans="1:8" ht="14.45">
      <c r="A104" s="1253" t="s">
        <v>487</v>
      </c>
      <c r="B104" s="1443" t="s">
        <v>577</v>
      </c>
      <c r="C104" s="1444"/>
      <c r="D104" s="1444">
        <v>120</v>
      </c>
      <c r="E104" s="1443" t="s">
        <v>573</v>
      </c>
      <c r="F104" s="1443"/>
      <c r="G104" s="1443">
        <v>1.87</v>
      </c>
      <c r="H104" s="1379"/>
    </row>
    <row r="105" spans="1:8" ht="14.45">
      <c r="A105" s="1253" t="s">
        <v>487</v>
      </c>
      <c r="B105" s="1170" t="s">
        <v>578</v>
      </c>
      <c r="C105" s="1171"/>
      <c r="D105" s="1171" t="s">
        <v>579</v>
      </c>
      <c r="E105" s="1170" t="s">
        <v>573</v>
      </c>
      <c r="F105" s="1170"/>
      <c r="G105" s="1170">
        <v>1.7</v>
      </c>
      <c r="H105" s="380"/>
    </row>
    <row r="106" spans="1:8" ht="14.45">
      <c r="A106" s="1253" t="s">
        <v>487</v>
      </c>
      <c r="B106" s="1170" t="s">
        <v>580</v>
      </c>
      <c r="C106" s="1171"/>
      <c r="D106" s="1171">
        <v>853</v>
      </c>
      <c r="E106" s="1170" t="s">
        <v>573</v>
      </c>
      <c r="F106" s="1170" t="s">
        <v>581</v>
      </c>
      <c r="G106" s="1170">
        <v>7.33</v>
      </c>
      <c r="H106" s="1379" t="s">
        <v>507</v>
      </c>
    </row>
    <row r="107" spans="1:8" ht="14.45">
      <c r="A107" s="1253" t="s">
        <v>487</v>
      </c>
      <c r="B107" s="1170" t="s">
        <v>580</v>
      </c>
      <c r="C107" s="1171"/>
      <c r="D107" s="1171">
        <v>853</v>
      </c>
      <c r="E107" s="1170" t="s">
        <v>573</v>
      </c>
      <c r="F107" s="1170"/>
      <c r="G107" s="1170">
        <v>2.44</v>
      </c>
      <c r="H107" s="1379" t="s">
        <v>531</v>
      </c>
    </row>
    <row r="108" spans="1:8" ht="14.45">
      <c r="A108" s="1253" t="s">
        <v>487</v>
      </c>
      <c r="B108" s="1170" t="s">
        <v>582</v>
      </c>
      <c r="C108" s="1254"/>
      <c r="D108" s="1171" t="s">
        <v>583</v>
      </c>
      <c r="E108" s="1380" t="s">
        <v>539</v>
      </c>
      <c r="F108" s="1170"/>
      <c r="G108" s="1170">
        <v>0</v>
      </c>
      <c r="H108" s="378"/>
    </row>
    <row r="109" spans="1:8" ht="14.45">
      <c r="A109" s="1253" t="s">
        <v>487</v>
      </c>
      <c r="B109" s="1170" t="s">
        <v>175</v>
      </c>
      <c r="C109" s="1171"/>
      <c r="D109" s="1171" t="s">
        <v>584</v>
      </c>
      <c r="E109" s="1380" t="s">
        <v>348</v>
      </c>
      <c r="F109" s="1170"/>
      <c r="G109" s="1170">
        <v>0</v>
      </c>
      <c r="H109" s="378"/>
    </row>
    <row r="110" spans="1:8" ht="14.45">
      <c r="A110" s="1253" t="s">
        <v>487</v>
      </c>
      <c r="B110" s="1170" t="s">
        <v>585</v>
      </c>
      <c r="C110" s="1171"/>
      <c r="D110" s="1171">
        <v>296</v>
      </c>
      <c r="E110" s="1380" t="s">
        <v>573</v>
      </c>
      <c r="F110" s="1170"/>
      <c r="G110" s="1170">
        <v>0</v>
      </c>
      <c r="H110" s="378" t="s">
        <v>522</v>
      </c>
    </row>
    <row r="111" spans="1:8" ht="14.45">
      <c r="A111" s="1253" t="s">
        <v>487</v>
      </c>
      <c r="B111" s="1170" t="s">
        <v>585</v>
      </c>
      <c r="C111" s="1171"/>
      <c r="D111" s="1171">
        <v>296</v>
      </c>
      <c r="E111" s="1380" t="s">
        <v>573</v>
      </c>
      <c r="F111" s="1170"/>
      <c r="G111" s="1170">
        <v>0</v>
      </c>
      <c r="H111" s="378" t="s">
        <v>586</v>
      </c>
    </row>
    <row r="112" spans="1:8" ht="14.45">
      <c r="A112" s="1253" t="s">
        <v>487</v>
      </c>
      <c r="B112" s="1170" t="s">
        <v>203</v>
      </c>
      <c r="C112" s="1171"/>
      <c r="D112" s="1171" t="s">
        <v>587</v>
      </c>
      <c r="E112" s="1380" t="s">
        <v>348</v>
      </c>
      <c r="F112" s="1170"/>
      <c r="G112" s="1170">
        <v>0.34</v>
      </c>
      <c r="H112" s="378" t="s">
        <v>507</v>
      </c>
    </row>
    <row r="113" spans="1:13" ht="14.45">
      <c r="A113" s="260"/>
      <c r="B113" s="260"/>
      <c r="C113" s="260"/>
      <c r="D113" s="260"/>
      <c r="E113" s="260"/>
      <c r="F113" s="1"/>
      <c r="G113" s="378"/>
    </row>
    <row r="114" spans="1:13" ht="15.6">
      <c r="A114" s="1248"/>
      <c r="B114" s="1248"/>
      <c r="C114" s="1248"/>
      <c r="D114" s="1248"/>
      <c r="E114" s="1255"/>
      <c r="F114" s="1257"/>
      <c r="G114" s="1257">
        <f>SUM(G97:G113)</f>
        <v>34.590000000000003</v>
      </c>
      <c r="I114" s="1512" t="s">
        <v>588</v>
      </c>
      <c r="J114" s="1513">
        <v>215.1</v>
      </c>
      <c r="L114" s="1523" t="s">
        <v>589</v>
      </c>
      <c r="M114" s="1523">
        <v>0</v>
      </c>
    </row>
    <row r="115" spans="1:13" ht="14.45">
      <c r="F115" s="1179"/>
      <c r="I115" s="1514" t="s">
        <v>590</v>
      </c>
      <c r="J115" s="1515">
        <v>959</v>
      </c>
      <c r="L115" s="1523" t="s">
        <v>591</v>
      </c>
      <c r="M115" s="1523">
        <v>0</v>
      </c>
    </row>
    <row r="116" spans="1:13" ht="14.45">
      <c r="D116" s="202"/>
      <c r="E116" s="1247"/>
      <c r="F116" s="1250" t="s">
        <v>377</v>
      </c>
      <c r="G116" s="1182">
        <v>0.61</v>
      </c>
      <c r="I116" s="1514" t="s">
        <v>592</v>
      </c>
      <c r="J116" s="1515">
        <v>1150.55</v>
      </c>
      <c r="L116" s="1523" t="s">
        <v>593</v>
      </c>
      <c r="M116" s="1523">
        <v>0</v>
      </c>
    </row>
    <row r="117" spans="1:13" ht="14.45">
      <c r="D117" s="202"/>
      <c r="E117" s="1247"/>
      <c r="F117" s="1250" t="s">
        <v>130</v>
      </c>
      <c r="G117" s="1182">
        <v>0.61</v>
      </c>
      <c r="I117" s="1514" t="s">
        <v>594</v>
      </c>
      <c r="J117" s="1515">
        <v>1585.1</v>
      </c>
      <c r="L117" s="1523" t="s">
        <v>595</v>
      </c>
      <c r="M117" s="1523">
        <v>179</v>
      </c>
    </row>
    <row r="118" spans="1:13" ht="14.45">
      <c r="D118" s="202"/>
      <c r="E118" s="1247"/>
      <c r="F118" s="1250" t="s">
        <v>596</v>
      </c>
      <c r="G118" s="1182">
        <v>0.12</v>
      </c>
      <c r="I118" s="1522" t="s">
        <v>592</v>
      </c>
      <c r="J118" s="1516">
        <v>23000</v>
      </c>
      <c r="K118" s="645" t="s">
        <v>507</v>
      </c>
      <c r="L118" s="1523" t="s">
        <v>597</v>
      </c>
      <c r="M118" s="1523">
        <v>558.70000000000005</v>
      </c>
    </row>
    <row r="119" spans="1:13" ht="14.45">
      <c r="D119" s="202"/>
      <c r="E119" s="1247"/>
      <c r="F119" s="1251" t="s">
        <v>236</v>
      </c>
      <c r="G119" s="1183">
        <v>0.3</v>
      </c>
      <c r="I119" s="1514" t="s">
        <v>598</v>
      </c>
      <c r="J119" s="1515">
        <v>2188.5</v>
      </c>
      <c r="L119" s="1523" t="s">
        <v>599</v>
      </c>
      <c r="M119" s="1523">
        <v>2573</v>
      </c>
    </row>
    <row r="120" spans="1:13" ht="14.45">
      <c r="D120" s="202"/>
      <c r="E120" s="1247"/>
      <c r="F120" s="1251" t="s">
        <v>600</v>
      </c>
      <c r="G120" s="1183">
        <v>1.17</v>
      </c>
      <c r="I120" s="1514" t="s">
        <v>601</v>
      </c>
      <c r="J120" s="1515">
        <v>2929.3</v>
      </c>
      <c r="L120" s="1523" t="s">
        <v>602</v>
      </c>
      <c r="M120" s="1523">
        <v>2576.4</v>
      </c>
    </row>
    <row r="121" spans="1:13" ht="14.45">
      <c r="D121" s="202"/>
      <c r="E121" s="1247"/>
      <c r="F121" s="1519" t="s">
        <v>603</v>
      </c>
      <c r="G121" s="395">
        <f>0.61</f>
        <v>0.61</v>
      </c>
      <c r="I121" s="1514" t="s">
        <v>604</v>
      </c>
      <c r="J121" s="1515">
        <v>4567.6499999999996</v>
      </c>
      <c r="L121" s="1523" t="s">
        <v>605</v>
      </c>
      <c r="M121" s="1523">
        <v>6661.7</v>
      </c>
    </row>
    <row r="122" spans="1:13" ht="15.6">
      <c r="E122" s="1246"/>
      <c r="F122" s="1245" t="s">
        <v>606</v>
      </c>
      <c r="G122" s="1252">
        <f>SUM(G116:G121)</f>
        <v>3.4199999999999995</v>
      </c>
      <c r="I122" s="1514" t="s">
        <v>607</v>
      </c>
      <c r="J122" s="1515">
        <v>5469.35</v>
      </c>
      <c r="L122" s="1523"/>
      <c r="M122" s="1523"/>
    </row>
    <row r="123" spans="1:13" ht="14.45">
      <c r="F123" s="649"/>
      <c r="I123" s="1514" t="s">
        <v>608</v>
      </c>
      <c r="J123" s="1515">
        <v>5800.7</v>
      </c>
      <c r="L123" s="1524" t="s">
        <v>609</v>
      </c>
      <c r="M123" s="1524">
        <v>12548.8</v>
      </c>
    </row>
    <row r="124" spans="1:13" ht="14.45">
      <c r="F124" s="649"/>
      <c r="I124" s="1514" t="s">
        <v>610</v>
      </c>
      <c r="J124" s="1515">
        <v>5866</v>
      </c>
    </row>
    <row r="125" spans="1:13" ht="14.45">
      <c r="F125" s="649"/>
      <c r="I125" s="1514" t="s">
        <v>611</v>
      </c>
      <c r="J125" s="1515">
        <v>6538.2</v>
      </c>
    </row>
    <row r="126" spans="1:13" ht="14.45">
      <c r="F126" s="649"/>
      <c r="I126" s="1514" t="s">
        <v>612</v>
      </c>
      <c r="J126" s="1515">
        <v>12012.8</v>
      </c>
    </row>
    <row r="127" spans="1:13" ht="14.45">
      <c r="F127" s="649"/>
      <c r="I127" s="1514" t="s">
        <v>613</v>
      </c>
      <c r="J127" s="1515">
        <v>12178</v>
      </c>
    </row>
    <row r="128" spans="1:13" ht="14.45">
      <c r="F128" s="649"/>
      <c r="I128" s="1517" t="s">
        <v>603</v>
      </c>
      <c r="J128" s="1518">
        <f>SUM(J114:J127)</f>
        <v>84460.249999999985</v>
      </c>
    </row>
    <row r="129" spans="6:6" ht="14.45">
      <c r="F129" s="649"/>
    </row>
    <row r="130" spans="6:6" ht="14.45">
      <c r="F130" s="649"/>
    </row>
    <row r="131" spans="6:6" ht="14.45">
      <c r="F131" s="649"/>
    </row>
    <row r="132" spans="6:6" ht="14.45">
      <c r="F132" s="649"/>
    </row>
    <row r="133" spans="6:6" ht="14.45">
      <c r="F133" s="649"/>
    </row>
    <row r="134" spans="6:6" ht="14.45">
      <c r="F134" s="649"/>
    </row>
    <row r="135" spans="6:6" ht="14.45">
      <c r="F135" s="649"/>
    </row>
    <row r="136" spans="6:6" ht="14.45">
      <c r="F136" s="649"/>
    </row>
    <row r="137" spans="6:6" ht="14.45">
      <c r="F137" s="649"/>
    </row>
    <row r="138" spans="6:6" ht="14.45">
      <c r="F138" s="649"/>
    </row>
    <row r="139" spans="6:6" ht="14.45">
      <c r="F139" s="649"/>
    </row>
    <row r="140" spans="6:6" ht="14.45">
      <c r="F140" s="649"/>
    </row>
    <row r="141" spans="6:6" ht="14.45">
      <c r="F141" s="649"/>
    </row>
    <row r="142" spans="6:6" ht="14.45">
      <c r="F142" s="649"/>
    </row>
    <row r="143" spans="6:6" ht="14.45">
      <c r="F143" s="649"/>
    </row>
    <row r="144" spans="6:6" ht="14.45">
      <c r="F144" s="649"/>
    </row>
    <row r="145" spans="6:6" ht="14.45">
      <c r="F145" s="649"/>
    </row>
    <row r="146" spans="6:6" ht="14.45">
      <c r="F146" s="649"/>
    </row>
    <row r="147" spans="6:6" ht="14.45">
      <c r="F147" s="649"/>
    </row>
    <row r="148" spans="6:6" ht="14.45">
      <c r="F148" s="649"/>
    </row>
    <row r="149" spans="6:6" ht="14.45">
      <c r="F149" s="649"/>
    </row>
    <row r="150" spans="6:6" ht="14.45">
      <c r="F150" s="649"/>
    </row>
    <row r="151" spans="6:6" ht="14.45">
      <c r="F151" s="649"/>
    </row>
    <row r="152" spans="6:6" ht="14.45">
      <c r="F152" s="649"/>
    </row>
    <row r="153" spans="6:6" ht="14.45">
      <c r="F153" s="649"/>
    </row>
    <row r="154" spans="6:6" ht="14.45">
      <c r="F154" s="649"/>
    </row>
    <row r="155" spans="6:6" ht="14.45">
      <c r="F155" s="649"/>
    </row>
    <row r="156" spans="6:6" ht="14.45">
      <c r="F156" s="649"/>
    </row>
    <row r="157" spans="6:6" ht="14.45">
      <c r="F157" s="649"/>
    </row>
    <row r="158" spans="6:6" ht="14.45">
      <c r="F158" s="649"/>
    </row>
    <row r="159" spans="6:6" ht="14.45">
      <c r="F159" s="649"/>
    </row>
    <row r="160" spans="6:6" ht="14.45">
      <c r="F160" s="649"/>
    </row>
    <row r="161" spans="6:6" ht="14.45">
      <c r="F161" s="649"/>
    </row>
    <row r="162" spans="6:6" ht="14.45">
      <c r="F162" s="649"/>
    </row>
    <row r="163" spans="6:6" ht="14.45">
      <c r="F163" s="649"/>
    </row>
    <row r="164" spans="6:6" ht="14.45">
      <c r="F164" s="649"/>
    </row>
    <row r="165" spans="6:6" ht="14.45">
      <c r="F165" s="649"/>
    </row>
    <row r="166" spans="6:6" ht="14.45">
      <c r="F166" s="649"/>
    </row>
    <row r="167" spans="6:6" ht="14.45">
      <c r="F167" s="649"/>
    </row>
    <row r="168" spans="6:6" ht="14.45">
      <c r="F168" s="649"/>
    </row>
    <row r="169" spans="6:6" ht="14.45">
      <c r="F169" s="649"/>
    </row>
    <row r="170" spans="6:6" ht="14.45">
      <c r="F170" s="649"/>
    </row>
    <row r="171" spans="6:6" ht="14.45">
      <c r="F171" s="649"/>
    </row>
    <row r="172" spans="6:6" ht="14.45">
      <c r="F172" s="649"/>
    </row>
    <row r="173" spans="6:6" ht="14.45">
      <c r="F173" s="649"/>
    </row>
    <row r="174" spans="6:6" ht="14.45">
      <c r="F174" s="649"/>
    </row>
    <row r="175" spans="6:6" ht="14.45">
      <c r="F175" s="649"/>
    </row>
    <row r="176" spans="6:6" ht="14.45">
      <c r="F176" s="649"/>
    </row>
    <row r="177" spans="6:6" ht="14.45">
      <c r="F177" s="649"/>
    </row>
    <row r="178" spans="6:6" ht="14.45">
      <c r="F178" s="649"/>
    </row>
    <row r="179" spans="6:6" ht="14.45">
      <c r="F179" s="649"/>
    </row>
    <row r="180" spans="6:6" ht="14.45">
      <c r="F180" s="649"/>
    </row>
    <row r="181" spans="6:6" ht="14.45">
      <c r="F181" s="649"/>
    </row>
    <row r="182" spans="6:6" ht="14.45">
      <c r="F182" s="649"/>
    </row>
    <row r="183" spans="6:6" ht="14.45">
      <c r="F183" s="649"/>
    </row>
    <row r="184" spans="6:6" ht="14.45">
      <c r="F184" s="649"/>
    </row>
    <row r="185" spans="6:6" ht="14.45">
      <c r="F185" s="649"/>
    </row>
    <row r="186" spans="6:6" ht="14.45">
      <c r="F186" s="649"/>
    </row>
    <row r="187" spans="6:6" ht="14.45">
      <c r="F187" s="649"/>
    </row>
    <row r="188" spans="6:6" ht="14.45">
      <c r="F188" s="649"/>
    </row>
    <row r="189" spans="6:6" ht="14.45">
      <c r="F189" s="649"/>
    </row>
    <row r="190" spans="6:6" ht="14.45">
      <c r="F190" s="649"/>
    </row>
    <row r="191" spans="6:6" ht="14.45">
      <c r="F191" s="649"/>
    </row>
    <row r="192" spans="6:6" ht="14.45">
      <c r="F192" s="649"/>
    </row>
    <row r="193" spans="6:6" ht="14.45">
      <c r="F193" s="649"/>
    </row>
    <row r="194" spans="6:6" ht="14.45">
      <c r="F194" s="649"/>
    </row>
    <row r="195" spans="6:6" ht="14.45">
      <c r="F195" s="649"/>
    </row>
    <row r="196" spans="6:6" ht="14.45">
      <c r="F196" s="649"/>
    </row>
    <row r="197" spans="6:6" ht="14.45">
      <c r="F197" s="649"/>
    </row>
    <row r="198" spans="6:6" ht="14.45">
      <c r="F198" s="649"/>
    </row>
    <row r="199" spans="6:6" ht="14.45">
      <c r="F199" s="649"/>
    </row>
    <row r="200" spans="6:6" ht="14.45">
      <c r="F200" s="649"/>
    </row>
    <row r="201" spans="6:6" ht="14.45">
      <c r="F201" s="649"/>
    </row>
    <row r="202" spans="6:6" ht="14.45">
      <c r="F202" s="649"/>
    </row>
    <row r="203" spans="6:6" ht="14.45">
      <c r="F203" s="649"/>
    </row>
    <row r="204" spans="6:6" ht="14.45">
      <c r="F204" s="649"/>
    </row>
    <row r="205" spans="6:6" ht="14.45">
      <c r="F205" s="649"/>
    </row>
    <row r="206" spans="6:6" ht="14.45">
      <c r="F206" s="649"/>
    </row>
    <row r="207" spans="6:6" ht="14.45">
      <c r="F207" s="649"/>
    </row>
    <row r="208" spans="6:6" ht="14.45">
      <c r="F208" s="649"/>
    </row>
    <row r="209" spans="6:6" ht="14.45">
      <c r="F209" s="649"/>
    </row>
    <row r="210" spans="6:6" ht="14.45">
      <c r="F210" s="649"/>
    </row>
    <row r="211" spans="6:6" ht="14.45">
      <c r="F211" s="649"/>
    </row>
    <row r="212" spans="6:6" ht="14.45">
      <c r="F212" s="649"/>
    </row>
    <row r="213" spans="6:6" ht="14.45">
      <c r="F213" s="649"/>
    </row>
    <row r="214" spans="6:6" ht="14.45">
      <c r="F214" s="649"/>
    </row>
    <row r="215" spans="6:6" ht="14.45">
      <c r="F215" s="649"/>
    </row>
    <row r="216" spans="6:6" ht="14.45">
      <c r="F216" s="649"/>
    </row>
    <row r="217" spans="6:6" ht="14.45">
      <c r="F217" s="649"/>
    </row>
    <row r="218" spans="6:6" ht="14.45">
      <c r="F218" s="649"/>
    </row>
    <row r="219" spans="6:6" ht="14.45">
      <c r="F219" s="649"/>
    </row>
    <row r="220" spans="6:6" ht="14.45">
      <c r="F220" s="649"/>
    </row>
    <row r="221" spans="6:6" ht="14.45">
      <c r="F221" s="649"/>
    </row>
    <row r="222" spans="6:6" ht="14.45">
      <c r="F222" s="649"/>
    </row>
    <row r="223" spans="6:6" ht="14.45">
      <c r="F223" s="649"/>
    </row>
    <row r="224" spans="6:6" ht="14.45">
      <c r="F224" s="649"/>
    </row>
    <row r="225" spans="6:6" ht="14.45">
      <c r="F225" s="649"/>
    </row>
    <row r="226" spans="6:6" ht="14.45">
      <c r="F226" s="649"/>
    </row>
    <row r="227" spans="6:6" ht="14.45">
      <c r="F227" s="649"/>
    </row>
    <row r="228" spans="6:6" ht="14.45">
      <c r="F228" s="649"/>
    </row>
    <row r="229" spans="6:6" ht="14.45">
      <c r="F229" s="649"/>
    </row>
    <row r="230" spans="6:6" ht="14.45">
      <c r="F230" s="649"/>
    </row>
    <row r="231" spans="6:6" ht="14.45">
      <c r="F231" s="649"/>
    </row>
    <row r="232" spans="6:6" ht="14.45">
      <c r="F232" s="649"/>
    </row>
    <row r="233" spans="6:6" ht="14.45">
      <c r="F233" s="649"/>
    </row>
    <row r="234" spans="6:6" ht="14.45">
      <c r="F234" s="649"/>
    </row>
    <row r="235" spans="6:6" ht="14.45">
      <c r="F235" s="649"/>
    </row>
    <row r="236" spans="6:6" ht="14.45">
      <c r="F236" s="649"/>
    </row>
    <row r="237" spans="6:6" ht="14.45">
      <c r="F237" s="649"/>
    </row>
    <row r="238" spans="6:6" ht="14.45">
      <c r="F238" s="649"/>
    </row>
    <row r="239" spans="6:6" ht="14.45">
      <c r="F239" s="649"/>
    </row>
    <row r="240" spans="6:6" ht="14.45">
      <c r="F240" s="649"/>
    </row>
    <row r="241" spans="6:6" ht="14.45">
      <c r="F241" s="649"/>
    </row>
    <row r="242" spans="6:6" ht="14.45">
      <c r="F242" s="649"/>
    </row>
    <row r="243" spans="6:6" ht="14.45">
      <c r="F243" s="649"/>
    </row>
    <row r="244" spans="6:6" ht="14.45">
      <c r="F244" s="649"/>
    </row>
    <row r="245" spans="6:6" ht="14.45">
      <c r="F245" s="649"/>
    </row>
    <row r="246" spans="6:6" ht="14.45">
      <c r="F246" s="649"/>
    </row>
    <row r="247" spans="6:6" ht="14.45">
      <c r="F247" s="649"/>
    </row>
    <row r="248" spans="6:6" ht="14.45">
      <c r="F248" s="649"/>
    </row>
    <row r="249" spans="6:6" ht="14.45">
      <c r="F249" s="649"/>
    </row>
    <row r="250" spans="6:6" ht="14.45">
      <c r="F250" s="649"/>
    </row>
    <row r="251" spans="6:6" ht="14.45">
      <c r="F251" s="649"/>
    </row>
    <row r="252" spans="6:6" ht="14.45">
      <c r="F252" s="649"/>
    </row>
    <row r="253" spans="6:6" ht="14.45">
      <c r="F253" s="649"/>
    </row>
    <row r="254" spans="6:6" ht="14.45">
      <c r="F254" s="649"/>
    </row>
    <row r="255" spans="6:6" ht="14.45">
      <c r="F255" s="649"/>
    </row>
    <row r="256" spans="6:6" ht="14.45">
      <c r="F256" s="649"/>
    </row>
    <row r="257" spans="6:6" ht="14.45">
      <c r="F257" s="649"/>
    </row>
    <row r="258" spans="6:6" ht="14.45">
      <c r="F258" s="649"/>
    </row>
    <row r="259" spans="6:6" ht="14.45">
      <c r="F259" s="649"/>
    </row>
    <row r="260" spans="6:6" ht="14.45">
      <c r="F260" s="649"/>
    </row>
    <row r="261" spans="6:6" ht="14.45">
      <c r="F261" s="649"/>
    </row>
    <row r="262" spans="6:6" ht="14.45">
      <c r="F262" s="649"/>
    </row>
    <row r="263" spans="6:6" ht="14.45">
      <c r="F263" s="649"/>
    </row>
    <row r="264" spans="6:6" ht="14.45">
      <c r="F264" s="649"/>
    </row>
    <row r="265" spans="6:6" ht="14.45">
      <c r="F265" s="649"/>
    </row>
    <row r="266" spans="6:6" ht="14.45">
      <c r="F266" s="649"/>
    </row>
    <row r="267" spans="6:6" ht="14.45">
      <c r="F267" s="649"/>
    </row>
    <row r="268" spans="6:6" ht="14.45">
      <c r="F268" s="649"/>
    </row>
    <row r="269" spans="6:6" ht="14.45">
      <c r="F269" s="649"/>
    </row>
    <row r="270" spans="6:6" ht="14.45">
      <c r="F270" s="649"/>
    </row>
    <row r="271" spans="6:6" ht="14.45">
      <c r="F271" s="649"/>
    </row>
    <row r="272" spans="6:6" ht="14.45">
      <c r="F272" s="649"/>
    </row>
    <row r="273" spans="6:6" ht="14.45">
      <c r="F273" s="649"/>
    </row>
    <row r="274" spans="6:6" ht="14.45">
      <c r="F274" s="649"/>
    </row>
    <row r="275" spans="6:6" ht="14.45">
      <c r="F275" s="649"/>
    </row>
    <row r="276" spans="6:6" ht="14.45">
      <c r="F276" s="649"/>
    </row>
    <row r="277" spans="6:6" ht="14.45">
      <c r="F277" s="649"/>
    </row>
    <row r="278" spans="6:6" ht="14.45">
      <c r="F278" s="649"/>
    </row>
    <row r="279" spans="6:6" ht="14.45">
      <c r="F279" s="649"/>
    </row>
    <row r="280" spans="6:6" ht="14.45">
      <c r="F280" s="649"/>
    </row>
    <row r="281" spans="6:6" ht="14.45">
      <c r="F281" s="649"/>
    </row>
    <row r="282" spans="6:6" ht="14.45">
      <c r="F282" s="649"/>
    </row>
    <row r="283" spans="6:6" ht="14.45">
      <c r="F283" s="649"/>
    </row>
    <row r="284" spans="6:6" ht="14.45">
      <c r="F284" s="649"/>
    </row>
    <row r="285" spans="6:6" ht="14.45">
      <c r="F285" s="649"/>
    </row>
    <row r="286" spans="6:6" ht="14.45">
      <c r="F286" s="649"/>
    </row>
    <row r="287" spans="6:6" ht="14.45">
      <c r="F287" s="649"/>
    </row>
    <row r="288" spans="6:6" ht="14.45">
      <c r="F288" s="649"/>
    </row>
    <row r="289" spans="6:6" ht="14.45">
      <c r="F289" s="649"/>
    </row>
    <row r="290" spans="6:6" ht="14.45">
      <c r="F290" s="649"/>
    </row>
    <row r="291" spans="6:6" ht="14.45">
      <c r="F291" s="649"/>
    </row>
    <row r="292" spans="6:6" ht="14.45">
      <c r="F292" s="649"/>
    </row>
    <row r="293" spans="6:6" ht="14.45">
      <c r="F293" s="649"/>
    </row>
    <row r="294" spans="6:6" ht="14.45">
      <c r="F294" s="649"/>
    </row>
    <row r="295" spans="6:6" ht="14.45">
      <c r="F295" s="649"/>
    </row>
    <row r="296" spans="6:6" ht="14.45">
      <c r="F296" s="649"/>
    </row>
    <row r="297" spans="6:6" ht="14.45">
      <c r="F297" s="649"/>
    </row>
    <row r="298" spans="6:6" ht="14.45">
      <c r="F298" s="649"/>
    </row>
    <row r="299" spans="6:6" ht="14.45">
      <c r="F299" s="649"/>
    </row>
    <row r="300" spans="6:6" ht="14.45">
      <c r="F300" s="649"/>
    </row>
    <row r="301" spans="6:6" ht="14.45">
      <c r="F301" s="649"/>
    </row>
    <row r="302" spans="6:6" ht="14.45">
      <c r="F302" s="649"/>
    </row>
    <row r="303" spans="6:6" ht="14.45">
      <c r="F303" s="649"/>
    </row>
    <row r="304" spans="6:6" ht="14.45">
      <c r="F304" s="649"/>
    </row>
    <row r="305" spans="6:6" ht="14.45">
      <c r="F305" s="649"/>
    </row>
    <row r="306" spans="6:6" ht="14.45">
      <c r="F306" s="649"/>
    </row>
    <row r="307" spans="6:6" ht="14.45">
      <c r="F307" s="649"/>
    </row>
    <row r="308" spans="6:6" ht="14.45">
      <c r="F308" s="649"/>
    </row>
    <row r="309" spans="6:6" ht="14.45">
      <c r="F309" s="649"/>
    </row>
    <row r="310" spans="6:6" ht="14.45">
      <c r="F310" s="649"/>
    </row>
    <row r="311" spans="6:6" ht="14.45">
      <c r="F311" s="649"/>
    </row>
    <row r="312" spans="6:6" ht="14.45">
      <c r="F312" s="649"/>
    </row>
    <row r="313" spans="6:6" ht="14.45">
      <c r="F313" s="649"/>
    </row>
    <row r="314" spans="6:6" ht="14.45">
      <c r="F314" s="649"/>
    </row>
    <row r="315" spans="6:6" ht="14.45">
      <c r="F315" s="649"/>
    </row>
    <row r="316" spans="6:6" ht="14.45">
      <c r="F316" s="649"/>
    </row>
    <row r="317" spans="6:6" ht="14.45">
      <c r="F317" s="649"/>
    </row>
    <row r="318" spans="6:6" ht="14.45">
      <c r="F318" s="649"/>
    </row>
    <row r="319" spans="6:6" ht="14.45">
      <c r="F319" s="649"/>
    </row>
    <row r="320" spans="6:6" ht="14.45">
      <c r="F320" s="649"/>
    </row>
    <row r="321" spans="6:6" ht="14.45">
      <c r="F321" s="649"/>
    </row>
    <row r="322" spans="6:6" ht="14.45">
      <c r="F322" s="649"/>
    </row>
    <row r="323" spans="6:6" ht="14.45">
      <c r="F323" s="649"/>
    </row>
    <row r="324" spans="6:6" ht="14.45">
      <c r="F324" s="649"/>
    </row>
    <row r="325" spans="6:6" ht="14.45">
      <c r="F325" s="649"/>
    </row>
    <row r="326" spans="6:6" ht="14.45">
      <c r="F326" s="649"/>
    </row>
    <row r="327" spans="6:6" ht="14.45">
      <c r="F327" s="649"/>
    </row>
    <row r="328" spans="6:6" ht="14.45">
      <c r="F328" s="649"/>
    </row>
    <row r="329" spans="6:6" ht="14.45">
      <c r="F329" s="649"/>
    </row>
    <row r="330" spans="6:6" ht="14.45">
      <c r="F330" s="649"/>
    </row>
    <row r="331" spans="6:6" ht="14.45">
      <c r="F331" s="649"/>
    </row>
    <row r="332" spans="6:6" ht="14.45">
      <c r="F332" s="649"/>
    </row>
    <row r="333" spans="6:6" ht="14.45">
      <c r="F333" s="649"/>
    </row>
    <row r="334" spans="6:6" ht="14.45">
      <c r="F334" s="649"/>
    </row>
    <row r="335" spans="6:6" ht="14.45">
      <c r="F335" s="649"/>
    </row>
    <row r="336" spans="6:6" ht="14.45">
      <c r="F336" s="649"/>
    </row>
    <row r="337" spans="6:6" ht="14.45">
      <c r="F337" s="649"/>
    </row>
    <row r="338" spans="6:6" ht="14.45">
      <c r="F338" s="649"/>
    </row>
    <row r="339" spans="6:6" ht="14.45">
      <c r="F339" s="649"/>
    </row>
    <row r="340" spans="6:6" ht="14.45">
      <c r="F340" s="649"/>
    </row>
    <row r="341" spans="6:6" ht="14.45">
      <c r="F341" s="649"/>
    </row>
    <row r="342" spans="6:6" ht="14.45">
      <c r="F342" s="649"/>
    </row>
    <row r="343" spans="6:6" ht="14.45">
      <c r="F343" s="649"/>
    </row>
    <row r="344" spans="6:6" ht="14.45">
      <c r="F344" s="649"/>
    </row>
    <row r="345" spans="6:6" ht="14.45">
      <c r="F345" s="649"/>
    </row>
    <row r="346" spans="6:6" ht="14.45">
      <c r="F346" s="649"/>
    </row>
    <row r="347" spans="6:6" ht="14.45">
      <c r="F347" s="649"/>
    </row>
    <row r="348" spans="6:6" ht="14.45">
      <c r="F348" s="649"/>
    </row>
    <row r="349" spans="6:6" ht="14.45">
      <c r="F349" s="649"/>
    </row>
    <row r="350" spans="6:6" ht="14.45">
      <c r="F350" s="649"/>
    </row>
    <row r="351" spans="6:6" ht="14.45">
      <c r="F351" s="649"/>
    </row>
    <row r="352" spans="6:6" ht="14.45">
      <c r="F352" s="649"/>
    </row>
    <row r="353" spans="6:6" ht="14.45">
      <c r="F353" s="649"/>
    </row>
    <row r="354" spans="6:6" ht="14.45">
      <c r="F354" s="649"/>
    </row>
    <row r="355" spans="6:6" ht="14.45">
      <c r="F355" s="649"/>
    </row>
    <row r="356" spans="6:6" ht="14.45">
      <c r="F356" s="649"/>
    </row>
    <row r="357" spans="6:6" ht="14.45">
      <c r="F357" s="649"/>
    </row>
    <row r="358" spans="6:6" ht="14.45">
      <c r="F358" s="649"/>
    </row>
    <row r="359" spans="6:6" ht="14.45">
      <c r="F359" s="649"/>
    </row>
    <row r="360" spans="6:6" ht="14.45">
      <c r="F360" s="649"/>
    </row>
    <row r="361" spans="6:6" ht="14.45">
      <c r="F361" s="649"/>
    </row>
    <row r="362" spans="6:6" ht="14.45">
      <c r="F362" s="649"/>
    </row>
    <row r="363" spans="6:6" ht="14.45">
      <c r="F363" s="649"/>
    </row>
    <row r="364" spans="6:6" ht="14.45">
      <c r="F364" s="649"/>
    </row>
    <row r="365" spans="6:6" ht="14.45">
      <c r="F365" s="649"/>
    </row>
    <row r="366" spans="6:6" ht="14.45">
      <c r="F366" s="649"/>
    </row>
    <row r="367" spans="6:6" ht="14.45">
      <c r="F367" s="649"/>
    </row>
    <row r="368" spans="6:6" ht="14.45">
      <c r="F368" s="649"/>
    </row>
    <row r="369" spans="6:6" ht="14.45">
      <c r="F369" s="649"/>
    </row>
    <row r="370" spans="6:6" ht="14.45">
      <c r="F370" s="649"/>
    </row>
    <row r="371" spans="6:6" ht="14.45">
      <c r="F371" s="649"/>
    </row>
    <row r="372" spans="6:6" ht="14.45">
      <c r="F372" s="649"/>
    </row>
    <row r="373" spans="6:6" ht="14.45">
      <c r="F373" s="649"/>
    </row>
    <row r="374" spans="6:6" ht="14.45">
      <c r="F374" s="649"/>
    </row>
    <row r="375" spans="6:6" ht="14.45">
      <c r="F375" s="649"/>
    </row>
    <row r="376" spans="6:6" ht="14.45">
      <c r="F376" s="649"/>
    </row>
    <row r="377" spans="6:6" ht="14.45">
      <c r="F377" s="649"/>
    </row>
    <row r="378" spans="6:6" ht="14.45">
      <c r="F378" s="649"/>
    </row>
    <row r="379" spans="6:6" ht="14.45">
      <c r="F379" s="649"/>
    </row>
    <row r="380" spans="6:6" ht="14.45">
      <c r="F380" s="649"/>
    </row>
    <row r="381" spans="6:6" ht="14.45">
      <c r="F381" s="649"/>
    </row>
    <row r="382" spans="6:6" ht="14.45">
      <c r="F382" s="649"/>
    </row>
    <row r="383" spans="6:6" ht="14.45">
      <c r="F383" s="649"/>
    </row>
    <row r="384" spans="6:6" ht="14.45">
      <c r="F384" s="649"/>
    </row>
    <row r="385" spans="6:6" ht="14.45">
      <c r="F385" s="649"/>
    </row>
    <row r="386" spans="6:6" ht="14.45">
      <c r="F386" s="649"/>
    </row>
    <row r="387" spans="6:6" ht="14.45">
      <c r="F387" s="649"/>
    </row>
    <row r="388" spans="6:6" ht="14.45">
      <c r="F388" s="649"/>
    </row>
    <row r="389" spans="6:6" ht="14.45">
      <c r="F389" s="649"/>
    </row>
    <row r="390" spans="6:6" ht="14.45">
      <c r="F390" s="649"/>
    </row>
    <row r="391" spans="6:6" ht="14.45">
      <c r="F391" s="649"/>
    </row>
    <row r="392" spans="6:6" ht="14.45">
      <c r="F392" s="649"/>
    </row>
    <row r="393" spans="6:6" ht="14.45">
      <c r="F393" s="649"/>
    </row>
    <row r="394" spans="6:6" ht="14.45">
      <c r="F394" s="649"/>
    </row>
    <row r="395" spans="6:6" ht="14.45">
      <c r="F395" s="649"/>
    </row>
    <row r="396" spans="6:6" ht="14.45">
      <c r="F396" s="649"/>
    </row>
    <row r="397" spans="6:6" ht="14.45">
      <c r="F397" s="649"/>
    </row>
    <row r="398" spans="6:6" ht="14.45">
      <c r="F398" s="649"/>
    </row>
    <row r="399" spans="6:6" ht="14.45">
      <c r="F399" s="649"/>
    </row>
    <row r="400" spans="6:6" ht="14.45">
      <c r="F400" s="649"/>
    </row>
    <row r="401" spans="6:6" ht="14.45">
      <c r="F401" s="649"/>
    </row>
    <row r="402" spans="6:6" ht="14.45">
      <c r="F402" s="649"/>
    </row>
    <row r="403" spans="6:6" ht="14.45">
      <c r="F403" s="649"/>
    </row>
    <row r="404" spans="6:6" ht="14.45">
      <c r="F404" s="649"/>
    </row>
    <row r="405" spans="6:6" ht="14.45">
      <c r="F405" s="649"/>
    </row>
    <row r="406" spans="6:6" ht="14.45">
      <c r="F406" s="649"/>
    </row>
    <row r="407" spans="6:6" ht="14.45">
      <c r="F407" s="649"/>
    </row>
    <row r="408" spans="6:6" ht="14.45">
      <c r="F408" s="649"/>
    </row>
    <row r="409" spans="6:6" ht="14.45">
      <c r="F409" s="649"/>
    </row>
    <row r="410" spans="6:6" ht="14.45">
      <c r="F410" s="649"/>
    </row>
    <row r="411" spans="6:6" ht="14.45">
      <c r="F411" s="649"/>
    </row>
    <row r="412" spans="6:6" ht="14.45">
      <c r="F412" s="649"/>
    </row>
    <row r="413" spans="6:6" ht="14.45">
      <c r="F413" s="649"/>
    </row>
    <row r="414" spans="6:6" ht="14.45">
      <c r="F414" s="649"/>
    </row>
    <row r="415" spans="6:6" ht="14.45">
      <c r="F415" s="649"/>
    </row>
    <row r="416" spans="6:6" ht="14.45">
      <c r="F416" s="649"/>
    </row>
    <row r="417" spans="6:6" ht="14.45">
      <c r="F417" s="649"/>
    </row>
    <row r="418" spans="6:6" ht="14.45">
      <c r="F418" s="649"/>
    </row>
    <row r="419" spans="6:6" ht="14.45">
      <c r="F419" s="649"/>
    </row>
    <row r="420" spans="6:6" ht="14.45">
      <c r="F420" s="649"/>
    </row>
    <row r="421" spans="6:6" ht="14.45">
      <c r="F421" s="649"/>
    </row>
    <row r="422" spans="6:6" ht="14.45">
      <c r="F422" s="649"/>
    </row>
    <row r="423" spans="6:6" ht="14.45">
      <c r="F423" s="649"/>
    </row>
    <row r="424" spans="6:6" ht="14.45">
      <c r="F424" s="649"/>
    </row>
    <row r="425" spans="6:6" ht="14.45">
      <c r="F425" s="649"/>
    </row>
    <row r="426" spans="6:6" ht="14.45">
      <c r="F426" s="649"/>
    </row>
    <row r="427" spans="6:6" ht="14.45">
      <c r="F427" s="649"/>
    </row>
    <row r="428" spans="6:6" ht="14.45">
      <c r="F428" s="649"/>
    </row>
    <row r="429" spans="6:6" ht="14.45">
      <c r="F429" s="649"/>
    </row>
    <row r="430" spans="6:6" ht="14.45">
      <c r="F430" s="649"/>
    </row>
    <row r="431" spans="6:6" ht="14.45">
      <c r="F431" s="649"/>
    </row>
    <row r="432" spans="6:6" ht="14.45">
      <c r="F432" s="649"/>
    </row>
    <row r="433" spans="6:6" ht="14.45">
      <c r="F433" s="649"/>
    </row>
    <row r="434" spans="6:6" ht="14.45">
      <c r="F434" s="649"/>
    </row>
    <row r="435" spans="6:6" ht="14.45">
      <c r="F435" s="649"/>
    </row>
    <row r="436" spans="6:6" ht="14.45">
      <c r="F436" s="649"/>
    </row>
    <row r="437" spans="6:6" ht="14.45">
      <c r="F437" s="649"/>
    </row>
    <row r="438" spans="6:6" ht="14.45">
      <c r="F438" s="649"/>
    </row>
    <row r="439" spans="6:6" ht="14.45">
      <c r="F439" s="649"/>
    </row>
    <row r="440" spans="6:6" ht="14.45">
      <c r="F440" s="649"/>
    </row>
    <row r="441" spans="6:6" ht="14.45">
      <c r="F441" s="649"/>
    </row>
    <row r="442" spans="6:6" ht="15" customHeight="1">
      <c r="F442" s="649"/>
    </row>
    <row r="443" spans="6:6" ht="15" customHeight="1">
      <c r="F443" s="649"/>
    </row>
    <row r="444" spans="6:6" ht="14.45">
      <c r="F444" s="649"/>
    </row>
    <row r="445" spans="6:6" ht="14.45">
      <c r="F445" s="649"/>
    </row>
    <row r="446" spans="6:6" ht="14.45">
      <c r="F446" s="649"/>
    </row>
    <row r="447" spans="6:6" ht="14.45">
      <c r="F447" s="649"/>
    </row>
    <row r="448" spans="6:6" ht="14.45">
      <c r="F448" s="649"/>
    </row>
    <row r="449" spans="6:6" ht="14.45">
      <c r="F449" s="649"/>
    </row>
    <row r="450" spans="6:6" ht="14.45">
      <c r="F450" s="649"/>
    </row>
    <row r="451" spans="6:6" ht="14.45">
      <c r="F451" s="649"/>
    </row>
    <row r="452" spans="6:6" ht="15" customHeight="1">
      <c r="F452" s="649"/>
    </row>
    <row r="453" spans="6:6" ht="15" customHeight="1">
      <c r="F453" s="649"/>
    </row>
    <row r="454" spans="6:6" ht="15" customHeight="1">
      <c r="F454" s="649"/>
    </row>
    <row r="455" spans="6:6" ht="15" customHeight="1">
      <c r="F455" s="649"/>
    </row>
    <row r="456" spans="6:6" ht="15" customHeight="1">
      <c r="F456" s="649"/>
    </row>
    <row r="457" spans="6:6" ht="15" customHeight="1">
      <c r="F457" s="649"/>
    </row>
    <row r="458" spans="6:6" ht="15" customHeight="1">
      <c r="F458" s="649"/>
    </row>
  </sheetData>
  <autoFilter ref="A1:K1" xr:uid="{4F27CA47-F0C4-4CC9-ABFD-8625FCAED2F5}"/>
  <mergeCells count="2">
    <mergeCell ref="B96:F96"/>
    <mergeCell ref="A74:F74"/>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C8014C-C938-4F10-A0BB-62DC3AEF35E6}">
  <dimension ref="A1:M75"/>
  <sheetViews>
    <sheetView showGridLines="0" workbookViewId="0">
      <pane ySplit="1" topLeftCell="A2" activePane="bottomLeft" state="frozen"/>
      <selection pane="bottomLeft" activeCell="K11" sqref="K11"/>
    </sheetView>
  </sheetViews>
  <sheetFormatPr defaultRowHeight="14.45"/>
  <cols>
    <col min="1" max="1" width="18.85546875" style="1" bestFit="1" customWidth="1"/>
    <col min="2" max="2" width="17.28515625" style="1" bestFit="1" customWidth="1"/>
    <col min="3" max="3" width="12.140625" style="1" bestFit="1" customWidth="1"/>
    <col min="4" max="4" width="11.85546875" style="1" bestFit="1" customWidth="1"/>
    <col min="5" max="5" width="18.42578125" style="444" bestFit="1" customWidth="1"/>
  </cols>
  <sheetData>
    <row r="1" spans="1:6" ht="29.1">
      <c r="A1" s="583" t="s">
        <v>614</v>
      </c>
      <c r="B1" s="583" t="s">
        <v>615</v>
      </c>
      <c r="C1" s="583" t="s">
        <v>616</v>
      </c>
      <c r="D1" s="583" t="s">
        <v>617</v>
      </c>
      <c r="E1" s="1615" t="s">
        <v>618</v>
      </c>
      <c r="F1" s="583" t="s">
        <v>346</v>
      </c>
    </row>
    <row r="2" spans="1:6">
      <c r="A2" s="1617" t="s">
        <v>532</v>
      </c>
      <c r="B2" s="1618"/>
      <c r="C2" s="1618"/>
      <c r="D2" s="1617">
        <v>28187.7</v>
      </c>
      <c r="E2" s="1619">
        <v>-1700.5</v>
      </c>
      <c r="F2" s="378"/>
    </row>
    <row r="3" spans="1:6">
      <c r="A3" s="404" t="s">
        <v>532</v>
      </c>
      <c r="B3" s="404"/>
      <c r="C3" s="404"/>
      <c r="D3" s="404">
        <v>15400</v>
      </c>
      <c r="E3" s="1620">
        <v>-949</v>
      </c>
      <c r="F3" s="378"/>
    </row>
    <row r="4" spans="1:6">
      <c r="A4" s="1617" t="s">
        <v>619</v>
      </c>
      <c r="B4" s="1618"/>
      <c r="C4" s="1618"/>
      <c r="D4" s="1617">
        <v>200560</v>
      </c>
      <c r="E4" s="1619">
        <v>-23440</v>
      </c>
      <c r="F4" s="378" t="s">
        <v>620</v>
      </c>
    </row>
    <row r="5" spans="1:6">
      <c r="A5" s="404" t="s">
        <v>619</v>
      </c>
      <c r="B5" s="404"/>
      <c r="C5" s="404"/>
      <c r="D5" s="404">
        <v>200000</v>
      </c>
      <c r="E5" s="1620">
        <v>-14800</v>
      </c>
      <c r="F5" s="378" t="s">
        <v>620</v>
      </c>
    </row>
    <row r="6" spans="1:6">
      <c r="A6" s="1617" t="s">
        <v>597</v>
      </c>
      <c r="B6" s="1618"/>
      <c r="C6" s="1618"/>
      <c r="D6" s="1617">
        <v>538.5</v>
      </c>
      <c r="E6" s="1619">
        <v>-28.85</v>
      </c>
      <c r="F6" s="378"/>
    </row>
    <row r="7" spans="1:6">
      <c r="A7" s="1617" t="s">
        <v>565</v>
      </c>
      <c r="B7" s="1618"/>
      <c r="C7" s="1618"/>
      <c r="D7" s="1617">
        <v>107442</v>
      </c>
      <c r="E7" s="1619">
        <v>-10623.5</v>
      </c>
      <c r="F7" s="378"/>
    </row>
    <row r="8" spans="1:6">
      <c r="A8" s="1385" t="s">
        <v>580</v>
      </c>
      <c r="B8" s="1385">
        <v>250</v>
      </c>
      <c r="C8" s="1385">
        <v>214005</v>
      </c>
      <c r="D8" s="1385">
        <v>244500</v>
      </c>
      <c r="E8" s="1616">
        <v>30495</v>
      </c>
      <c r="F8" s="378" t="s">
        <v>620</v>
      </c>
    </row>
    <row r="9" spans="1:6">
      <c r="A9" s="1617" t="s">
        <v>580</v>
      </c>
      <c r="B9" s="1618"/>
      <c r="C9" s="1618"/>
      <c r="D9" s="1617">
        <v>489000</v>
      </c>
      <c r="E9" s="1619">
        <v>75337.5</v>
      </c>
      <c r="F9" s="378" t="s">
        <v>620</v>
      </c>
    </row>
    <row r="10" spans="1:6">
      <c r="A10" s="1617" t="s">
        <v>580</v>
      </c>
      <c r="B10" s="1618"/>
      <c r="C10" s="1618"/>
      <c r="D10" s="1621">
        <v>241500</v>
      </c>
      <c r="E10" s="1619">
        <v>3000</v>
      </c>
      <c r="F10" s="378" t="s">
        <v>620</v>
      </c>
    </row>
    <row r="11" spans="1:6">
      <c r="A11" s="404" t="s">
        <v>621</v>
      </c>
      <c r="B11" s="404"/>
      <c r="C11" s="404"/>
      <c r="D11" s="404">
        <v>53769</v>
      </c>
      <c r="E11" s="1620">
        <v>-12000</v>
      </c>
      <c r="F11" s="378"/>
    </row>
    <row r="12" spans="1:6">
      <c r="A12" s="1642" t="s">
        <v>621</v>
      </c>
      <c r="B12" s="1618"/>
      <c r="C12" s="1618"/>
      <c r="D12" s="1617">
        <v>50300.5</v>
      </c>
      <c r="E12" s="1619">
        <v>-12789.5</v>
      </c>
      <c r="F12" s="378"/>
    </row>
    <row r="13" spans="1:6">
      <c r="A13" s="1385" t="s">
        <v>622</v>
      </c>
      <c r="B13" s="1385">
        <v>76</v>
      </c>
      <c r="C13" s="1385">
        <v>79942.880000000005</v>
      </c>
      <c r="D13" s="1385">
        <v>70615.399999999994</v>
      </c>
      <c r="E13" s="1616">
        <v>-9327.48</v>
      </c>
      <c r="F13" s="378"/>
    </row>
    <row r="14" spans="1:6">
      <c r="A14" s="1385" t="s">
        <v>599</v>
      </c>
      <c r="B14" s="1385">
        <v>95</v>
      </c>
      <c r="C14" s="1385">
        <v>82075.25</v>
      </c>
      <c r="D14" s="1385">
        <v>57589</v>
      </c>
      <c r="E14" s="1616">
        <v>-24486.25</v>
      </c>
      <c r="F14" s="378"/>
    </row>
    <row r="15" spans="1:6">
      <c r="A15" s="1617" t="s">
        <v>599</v>
      </c>
      <c r="B15" s="1618"/>
      <c r="C15" s="1618"/>
      <c r="D15" s="1617">
        <v>2425.4</v>
      </c>
      <c r="E15" s="1619">
        <v>-994.6</v>
      </c>
      <c r="F15" s="378"/>
    </row>
    <row r="16" spans="1:6">
      <c r="A16" s="1385" t="s">
        <v>623</v>
      </c>
      <c r="B16" s="1385">
        <v>1595</v>
      </c>
      <c r="C16" s="1385">
        <v>117679.1</v>
      </c>
      <c r="D16" s="1385">
        <v>104472.5</v>
      </c>
      <c r="E16" s="1616">
        <v>-13206.6</v>
      </c>
      <c r="F16" s="378"/>
    </row>
    <row r="17" spans="1:13">
      <c r="A17" s="1617" t="s">
        <v>623</v>
      </c>
      <c r="B17" s="1618"/>
      <c r="C17" s="1618"/>
      <c r="D17" s="1617">
        <v>79291.3</v>
      </c>
      <c r="E17" s="1619">
        <v>-7814.6</v>
      </c>
      <c r="F17" s="378"/>
    </row>
    <row r="18" spans="1:13">
      <c r="A18" s="404" t="s">
        <v>623</v>
      </c>
      <c r="B18" s="404"/>
      <c r="C18" s="404"/>
      <c r="D18" s="404">
        <v>14000</v>
      </c>
      <c r="E18" s="1620">
        <v>-1820</v>
      </c>
      <c r="F18" s="378"/>
    </row>
    <row r="19" spans="1:13">
      <c r="A19" s="404" t="s">
        <v>624</v>
      </c>
      <c r="B19" s="404" t="s">
        <v>490</v>
      </c>
      <c r="C19" s="404"/>
      <c r="D19" s="404">
        <v>300000</v>
      </c>
      <c r="E19" s="1620">
        <v>-33800</v>
      </c>
      <c r="F19" s="378" t="s">
        <v>620</v>
      </c>
    </row>
    <row r="20" spans="1:13">
      <c r="A20" s="1622" t="s">
        <v>624</v>
      </c>
      <c r="B20" s="1622" t="s">
        <v>507</v>
      </c>
      <c r="C20" s="1622"/>
      <c r="D20" s="1622">
        <v>286000</v>
      </c>
      <c r="E20" s="1620">
        <v>18000</v>
      </c>
      <c r="F20" s="378" t="s">
        <v>620</v>
      </c>
      <c r="I20" s="1500"/>
      <c r="J20" s="1500"/>
      <c r="K20" s="1500"/>
      <c r="L20" s="1500"/>
      <c r="M20" s="1500"/>
    </row>
    <row r="21" spans="1:13" ht="16.7" customHeight="1">
      <c r="A21" s="1385" t="s">
        <v>610</v>
      </c>
      <c r="B21" s="1385">
        <v>14</v>
      </c>
      <c r="C21" s="1385">
        <v>9461.9</v>
      </c>
      <c r="D21" s="1385">
        <v>5684</v>
      </c>
      <c r="E21" s="1616">
        <v>-3777.9</v>
      </c>
      <c r="F21" s="378"/>
      <c r="I21" s="1623"/>
      <c r="J21" s="1623"/>
      <c r="K21" s="1623"/>
      <c r="L21" s="1624"/>
      <c r="M21" s="1500"/>
    </row>
    <row r="22" spans="1:13">
      <c r="A22" s="404" t="s">
        <v>625</v>
      </c>
      <c r="B22" s="404"/>
      <c r="C22" s="404"/>
      <c r="D22" s="404">
        <v>231064</v>
      </c>
      <c r="E22" s="1620">
        <v>-4341</v>
      </c>
      <c r="F22" s="378"/>
    </row>
    <row r="23" spans="1:13">
      <c r="A23" s="1385" t="s">
        <v>236</v>
      </c>
      <c r="B23" s="1385">
        <v>80</v>
      </c>
      <c r="C23" s="1385">
        <v>30326.400000000001</v>
      </c>
      <c r="D23" s="1385">
        <v>22332</v>
      </c>
      <c r="E23" s="1616">
        <v>-7994.4</v>
      </c>
      <c r="F23" s="378"/>
    </row>
    <row r="24" spans="1:13">
      <c r="A24" s="1385" t="s">
        <v>611</v>
      </c>
      <c r="B24" s="1385">
        <v>4</v>
      </c>
      <c r="C24" s="1385">
        <v>7401.4</v>
      </c>
      <c r="D24" s="1385">
        <v>5494.4</v>
      </c>
      <c r="E24" s="1616">
        <v>-1907</v>
      </c>
      <c r="F24" s="378"/>
    </row>
    <row r="25" spans="1:13">
      <c r="A25" s="1385" t="s">
        <v>626</v>
      </c>
      <c r="B25" s="1385">
        <v>9</v>
      </c>
      <c r="C25" s="1385">
        <v>32858.28</v>
      </c>
      <c r="D25" s="1385">
        <v>29937.599999999999</v>
      </c>
      <c r="E25" s="1616">
        <v>-2920.68</v>
      </c>
      <c r="F25" s="378"/>
    </row>
    <row r="26" spans="1:13">
      <c r="A26" s="1617" t="s">
        <v>612</v>
      </c>
      <c r="B26" s="1618"/>
      <c r="C26" s="1618"/>
      <c r="D26" s="1617">
        <v>24829.56</v>
      </c>
      <c r="E26" s="1619">
        <v>-5505.49</v>
      </c>
      <c r="F26" s="378"/>
    </row>
    <row r="27" spans="1:13">
      <c r="A27" s="1385" t="s">
        <v>612</v>
      </c>
      <c r="B27" s="1385">
        <v>80</v>
      </c>
      <c r="C27" s="1385">
        <v>14541.6</v>
      </c>
      <c r="D27" s="1385">
        <v>11222.4</v>
      </c>
      <c r="E27" s="1616">
        <v>-3319.2</v>
      </c>
      <c r="F27" s="378"/>
    </row>
    <row r="28" spans="1:13">
      <c r="A28" s="1385" t="s">
        <v>377</v>
      </c>
      <c r="B28" s="1385">
        <v>30</v>
      </c>
      <c r="C28" s="1385">
        <v>67461.3</v>
      </c>
      <c r="D28" s="1385">
        <v>58056</v>
      </c>
      <c r="E28" s="1616">
        <v>-9405.2999999999993</v>
      </c>
      <c r="F28" s="378"/>
    </row>
    <row r="29" spans="1:13">
      <c r="A29" s="1617" t="s">
        <v>627</v>
      </c>
      <c r="B29" s="1618"/>
      <c r="C29" s="1618"/>
      <c r="D29" s="1617">
        <v>129780</v>
      </c>
      <c r="E29" s="1619">
        <v>-6680</v>
      </c>
      <c r="F29" s="378" t="s">
        <v>620</v>
      </c>
    </row>
    <row r="30" spans="1:13">
      <c r="A30" s="1617" t="s">
        <v>275</v>
      </c>
      <c r="B30" s="1618"/>
      <c r="C30" s="1618"/>
      <c r="D30" s="1617">
        <v>154018.26</v>
      </c>
      <c r="E30" s="1619">
        <v>-33030.839999999997</v>
      </c>
      <c r="F30" s="378"/>
    </row>
    <row r="31" spans="1:13">
      <c r="A31" s="1617" t="s">
        <v>541</v>
      </c>
      <c r="B31" s="1618"/>
      <c r="C31" s="1618"/>
      <c r="D31" s="1617">
        <v>20500</v>
      </c>
      <c r="E31" s="1619">
        <v>-4090</v>
      </c>
      <c r="F31" s="378"/>
    </row>
    <row r="32" spans="1:13">
      <c r="A32" s="1385" t="s">
        <v>628</v>
      </c>
      <c r="B32" s="1385">
        <v>4</v>
      </c>
      <c r="C32" s="1385">
        <v>17997.68</v>
      </c>
      <c r="D32" s="1385">
        <v>17310.599999999999</v>
      </c>
      <c r="E32" s="1616">
        <v>-687.08</v>
      </c>
      <c r="F32" s="378"/>
    </row>
    <row r="33" spans="1:6">
      <c r="A33" s="1617" t="s">
        <v>605</v>
      </c>
      <c r="B33" s="1618"/>
      <c r="C33" s="1618"/>
      <c r="D33" s="1617">
        <v>6455.4</v>
      </c>
      <c r="E33" s="1619">
        <v>-470.55</v>
      </c>
      <c r="F33" s="378"/>
    </row>
    <row r="34" spans="1:6">
      <c r="A34" s="1385" t="s">
        <v>564</v>
      </c>
      <c r="B34" s="1385">
        <v>316</v>
      </c>
      <c r="C34" s="1385">
        <v>412967.76</v>
      </c>
      <c r="D34" s="1385">
        <v>338199</v>
      </c>
      <c r="E34" s="1616">
        <v>-74768.759999999995</v>
      </c>
      <c r="F34" s="378"/>
    </row>
    <row r="35" spans="1:6">
      <c r="A35" s="1617" t="s">
        <v>629</v>
      </c>
      <c r="B35" s="1618"/>
      <c r="C35" s="1618"/>
      <c r="D35" s="1617">
        <v>138425.29999999999</v>
      </c>
      <c r="E35" s="1619">
        <v>-40869.699999999997</v>
      </c>
      <c r="F35" s="378"/>
    </row>
    <row r="36" spans="1:6">
      <c r="A36" s="404" t="s">
        <v>629</v>
      </c>
      <c r="B36" s="404"/>
      <c r="C36" s="404"/>
      <c r="D36" s="404">
        <v>131500</v>
      </c>
      <c r="E36" s="1620">
        <v>-35063</v>
      </c>
      <c r="F36" s="378"/>
    </row>
    <row r="37" spans="1:6">
      <c r="A37" s="404" t="s">
        <v>608</v>
      </c>
      <c r="B37" s="404"/>
      <c r="C37" s="404"/>
      <c r="D37" s="404">
        <v>110000</v>
      </c>
      <c r="E37" s="1620">
        <v>-21875</v>
      </c>
      <c r="F37" s="378" t="s">
        <v>630</v>
      </c>
    </row>
    <row r="38" spans="1:6">
      <c r="A38" s="1617" t="s">
        <v>608</v>
      </c>
      <c r="B38" s="1618"/>
      <c r="C38" s="1618"/>
      <c r="D38" s="1617">
        <v>110578</v>
      </c>
      <c r="E38" s="1619">
        <v>-17944</v>
      </c>
      <c r="F38" s="378" t="s">
        <v>630</v>
      </c>
    </row>
    <row r="39" spans="1:6">
      <c r="A39" s="1385" t="s">
        <v>608</v>
      </c>
      <c r="B39" s="1385">
        <v>2</v>
      </c>
      <c r="C39" s="1385">
        <v>7263</v>
      </c>
      <c r="D39" s="1385">
        <v>5523.9</v>
      </c>
      <c r="E39" s="1616">
        <v>-1739.1</v>
      </c>
      <c r="F39" s="378" t="s">
        <v>630</v>
      </c>
    </row>
    <row r="40" spans="1:6">
      <c r="A40" s="1617" t="s">
        <v>592</v>
      </c>
      <c r="B40" s="1618"/>
      <c r="C40" s="1618"/>
      <c r="D40" s="1617">
        <v>21265</v>
      </c>
      <c r="E40" s="1619">
        <v>-6415</v>
      </c>
      <c r="F40" s="378"/>
    </row>
    <row r="41" spans="1:6">
      <c r="A41" s="1385" t="s">
        <v>592</v>
      </c>
      <c r="B41" s="1385">
        <v>1</v>
      </c>
      <c r="C41" s="1385">
        <v>1445.91</v>
      </c>
      <c r="D41" s="1385">
        <v>1064.0999999999999</v>
      </c>
      <c r="E41" s="1616">
        <v>-381.81</v>
      </c>
      <c r="F41" s="378"/>
    </row>
    <row r="42" spans="1:6">
      <c r="A42" s="1617" t="s">
        <v>631</v>
      </c>
      <c r="B42" s="1618"/>
      <c r="C42" s="1618"/>
      <c r="D42" s="1617">
        <v>418400</v>
      </c>
      <c r="E42" s="1619">
        <v>-72700</v>
      </c>
      <c r="F42" s="378" t="s">
        <v>620</v>
      </c>
    </row>
    <row r="43" spans="1:6">
      <c r="A43" s="1385" t="s">
        <v>600</v>
      </c>
      <c r="B43" s="1385">
        <v>485</v>
      </c>
      <c r="C43" s="1385">
        <v>247092.95</v>
      </c>
      <c r="D43" s="1385">
        <v>115599.75</v>
      </c>
      <c r="E43" s="1616">
        <v>-131493.20000000001</v>
      </c>
      <c r="F43" s="378"/>
    </row>
    <row r="44" spans="1:6">
      <c r="A44" s="1385" t="s">
        <v>613</v>
      </c>
      <c r="B44" s="1385">
        <v>50</v>
      </c>
      <c r="C44" s="1385">
        <v>13648.5</v>
      </c>
      <c r="D44" s="1385">
        <v>11708.5</v>
      </c>
      <c r="E44" s="1616">
        <v>-1940</v>
      </c>
      <c r="F44" s="378"/>
    </row>
    <row r="45" spans="1:6">
      <c r="A45" s="1385" t="s">
        <v>632</v>
      </c>
      <c r="B45" s="1385">
        <v>90</v>
      </c>
      <c r="C45" s="1385">
        <v>73712.7</v>
      </c>
      <c r="D45" s="1385">
        <v>63850.5</v>
      </c>
      <c r="E45" s="1616">
        <v>-9862.2000000000007</v>
      </c>
      <c r="F45" s="378" t="s">
        <v>630</v>
      </c>
    </row>
    <row r="46" spans="1:6">
      <c r="A46" s="1617" t="s">
        <v>632</v>
      </c>
      <c r="B46" s="1618"/>
      <c r="C46" s="1618"/>
      <c r="D46" s="1617">
        <v>70656.3</v>
      </c>
      <c r="E46" s="1619">
        <v>-3936.35</v>
      </c>
      <c r="F46" s="378" t="s">
        <v>630</v>
      </c>
    </row>
    <row r="47" spans="1:6">
      <c r="A47" s="1385" t="s">
        <v>633</v>
      </c>
      <c r="B47" s="1385">
        <v>47</v>
      </c>
      <c r="C47" s="1385">
        <v>135985.57</v>
      </c>
      <c r="D47" s="1385">
        <v>124817.9</v>
      </c>
      <c r="E47" s="1616">
        <v>-11167.67</v>
      </c>
      <c r="F47" s="378"/>
    </row>
    <row r="48" spans="1:6">
      <c r="A48" s="1617" t="s">
        <v>633</v>
      </c>
      <c r="B48" s="1618"/>
      <c r="C48" s="1618"/>
      <c r="D48" s="1617">
        <v>321309.45</v>
      </c>
      <c r="E48" s="1619">
        <v>-10980.25</v>
      </c>
      <c r="F48" s="378"/>
    </row>
    <row r="49" spans="1:6">
      <c r="A49" s="1617" t="s">
        <v>604</v>
      </c>
      <c r="B49" s="1618"/>
      <c r="C49" s="1618"/>
      <c r="D49" s="1617">
        <v>178168.2</v>
      </c>
      <c r="E49" s="1619">
        <v>-7383.3</v>
      </c>
      <c r="F49" s="378" t="s">
        <v>630</v>
      </c>
    </row>
    <row r="50" spans="1:6">
      <c r="A50" s="1385" t="s">
        <v>604</v>
      </c>
      <c r="B50" s="1385">
        <v>3</v>
      </c>
      <c r="C50" s="1385">
        <v>4886.13</v>
      </c>
      <c r="D50" s="1385">
        <v>4523.1000000000004</v>
      </c>
      <c r="E50" s="1616">
        <v>-363.03</v>
      </c>
      <c r="F50" s="378" t="s">
        <v>630</v>
      </c>
    </row>
    <row r="51" spans="1:6">
      <c r="A51" s="1385" t="s">
        <v>601</v>
      </c>
      <c r="B51" s="1385">
        <v>11</v>
      </c>
      <c r="C51" s="1385">
        <v>3758.81</v>
      </c>
      <c r="D51" s="1385">
        <v>2753.3</v>
      </c>
      <c r="E51" s="1616">
        <v>-1005.51</v>
      </c>
      <c r="F51" s="378"/>
    </row>
    <row r="52" spans="1:6">
      <c r="A52" s="1385" t="s">
        <v>194</v>
      </c>
      <c r="B52" s="1385">
        <v>1000</v>
      </c>
      <c r="C52" s="1385">
        <v>209740</v>
      </c>
      <c r="D52" s="1385">
        <v>176000</v>
      </c>
      <c r="E52" s="1616">
        <v>-33740</v>
      </c>
      <c r="F52" s="378" t="s">
        <v>620</v>
      </c>
    </row>
    <row r="53" spans="1:6">
      <c r="A53" s="1385" t="s">
        <v>595</v>
      </c>
      <c r="B53" s="1385">
        <v>260</v>
      </c>
      <c r="C53" s="1385">
        <v>52761.8</v>
      </c>
      <c r="D53" s="1385">
        <v>47104.2</v>
      </c>
      <c r="E53" s="1616">
        <v>-5657.6</v>
      </c>
      <c r="F53" s="378" t="s">
        <v>630</v>
      </c>
    </row>
    <row r="54" spans="1:6">
      <c r="A54" s="1617" t="s">
        <v>595</v>
      </c>
      <c r="B54" s="1618"/>
      <c r="C54" s="1618"/>
      <c r="D54" s="1617">
        <v>181.17</v>
      </c>
      <c r="E54" s="1619">
        <v>-18.39</v>
      </c>
      <c r="F54" s="378" t="s">
        <v>630</v>
      </c>
    </row>
    <row r="55" spans="1:6">
      <c r="A55" s="1617" t="s">
        <v>203</v>
      </c>
      <c r="B55" s="1618"/>
      <c r="C55" s="1618"/>
      <c r="D55" s="1617">
        <v>34070</v>
      </c>
      <c r="E55" s="1619">
        <v>-3213.95</v>
      </c>
      <c r="F55" s="378"/>
    </row>
    <row r="56" spans="1:6">
      <c r="A56" s="1617" t="s">
        <v>634</v>
      </c>
      <c r="B56" s="1618"/>
      <c r="C56" s="1618"/>
      <c r="D56" s="1617">
        <v>175483.75</v>
      </c>
      <c r="E56" s="1619">
        <v>-14217.2</v>
      </c>
      <c r="F56" s="378"/>
    </row>
    <row r="57" spans="1:6">
      <c r="A57" s="404" t="s">
        <v>634</v>
      </c>
      <c r="B57" s="404"/>
      <c r="C57" s="404"/>
      <c r="D57" s="404">
        <v>247837</v>
      </c>
      <c r="E57" s="1620">
        <v>-9602</v>
      </c>
      <c r="F57" s="378"/>
    </row>
    <row r="58" spans="1:6">
      <c r="A58" s="1385" t="s">
        <v>634</v>
      </c>
      <c r="B58" s="1385">
        <v>100</v>
      </c>
      <c r="C58" s="1385">
        <v>58879</v>
      </c>
      <c r="D58" s="1385">
        <v>53995</v>
      </c>
      <c r="E58" s="1616">
        <v>-4884</v>
      </c>
      <c r="F58" s="378" t="s">
        <v>539</v>
      </c>
    </row>
    <row r="59" spans="1:6">
      <c r="A59" s="1385" t="s">
        <v>588</v>
      </c>
      <c r="B59" s="1385">
        <v>10</v>
      </c>
      <c r="C59" s="1385">
        <v>271.7</v>
      </c>
      <c r="D59" s="1385">
        <v>204.1</v>
      </c>
      <c r="E59" s="1616">
        <v>-67.599999999999994</v>
      </c>
      <c r="F59" s="378"/>
    </row>
    <row r="60" spans="1:6">
      <c r="A60" s="1385" t="s">
        <v>207</v>
      </c>
      <c r="B60" s="1385">
        <v>232</v>
      </c>
      <c r="C60" s="1385">
        <v>171496.72</v>
      </c>
      <c r="D60" s="1385">
        <v>129630</v>
      </c>
      <c r="E60" s="1616">
        <v>-41866.720000000001</v>
      </c>
      <c r="F60" s="378"/>
    </row>
    <row r="61" spans="1:6">
      <c r="A61" s="1617" t="s">
        <v>635</v>
      </c>
      <c r="B61" s="1618"/>
      <c r="C61" s="1618"/>
      <c r="D61" s="1617">
        <v>105444.6</v>
      </c>
      <c r="E61" s="1619">
        <v>-6461.7</v>
      </c>
      <c r="F61" s="378"/>
    </row>
    <row r="62" spans="1:6">
      <c r="A62" s="1617" t="s">
        <v>209</v>
      </c>
      <c r="B62" s="1618"/>
      <c r="C62" s="1618"/>
      <c r="D62" s="1617">
        <v>95589</v>
      </c>
      <c r="E62" s="1619">
        <v>-6591</v>
      </c>
      <c r="F62" s="378"/>
    </row>
    <row r="63" spans="1:6">
      <c r="A63" s="1385" t="s">
        <v>209</v>
      </c>
      <c r="B63" s="1385">
        <v>18</v>
      </c>
      <c r="C63" s="1385">
        <v>27817.02</v>
      </c>
      <c r="D63" s="1385">
        <v>26470.799999999999</v>
      </c>
      <c r="E63" s="1616">
        <v>-1346.22</v>
      </c>
      <c r="F63" s="378"/>
    </row>
    <row r="64" spans="1:6">
      <c r="A64" s="1617" t="s">
        <v>636</v>
      </c>
      <c r="B64" s="1618"/>
      <c r="C64" s="1618"/>
      <c r="D64" s="1617">
        <v>179928</v>
      </c>
      <c r="E64" s="1619">
        <v>-44268.6</v>
      </c>
      <c r="F64" s="378" t="s">
        <v>630</v>
      </c>
    </row>
    <row r="65" spans="1:6">
      <c r="A65" s="1385" t="s">
        <v>636</v>
      </c>
      <c r="B65" s="1385">
        <v>97</v>
      </c>
      <c r="C65" s="1385">
        <v>177618.64</v>
      </c>
      <c r="D65" s="1385">
        <v>138516</v>
      </c>
      <c r="E65" s="1616">
        <v>-39102.639999999999</v>
      </c>
      <c r="F65" s="378" t="s">
        <v>630</v>
      </c>
    </row>
    <row r="66" spans="1:6">
      <c r="A66" s="404" t="s">
        <v>636</v>
      </c>
      <c r="B66" s="404"/>
      <c r="C66" s="404"/>
      <c r="D66" s="404">
        <v>85878</v>
      </c>
      <c r="E66" s="1620">
        <v>-22144</v>
      </c>
      <c r="F66" s="378" t="s">
        <v>630</v>
      </c>
    </row>
    <row r="67" spans="1:6">
      <c r="A67" s="1385" t="s">
        <v>637</v>
      </c>
      <c r="B67" s="1385">
        <v>175</v>
      </c>
      <c r="C67" s="1385">
        <v>86199.75</v>
      </c>
      <c r="D67" s="1385">
        <v>76046.25</v>
      </c>
      <c r="E67" s="1616">
        <v>-10153.5</v>
      </c>
      <c r="F67" s="378" t="s">
        <v>630</v>
      </c>
    </row>
    <row r="68" spans="1:6">
      <c r="A68" s="1617" t="s">
        <v>637</v>
      </c>
      <c r="B68" s="1618"/>
      <c r="C68" s="1618"/>
      <c r="D68" s="1617">
        <v>43385</v>
      </c>
      <c r="E68" s="1619">
        <v>-3925</v>
      </c>
      <c r="F68" s="378" t="s">
        <v>630</v>
      </c>
    </row>
    <row r="69" spans="1:6">
      <c r="A69" s="1617" t="s">
        <v>638</v>
      </c>
      <c r="B69" s="1618"/>
      <c r="C69" s="1618"/>
      <c r="D69" s="1617">
        <v>174000</v>
      </c>
      <c r="E69" s="1619">
        <v>-7000</v>
      </c>
      <c r="F69" s="378" t="s">
        <v>620</v>
      </c>
    </row>
    <row r="70" spans="1:6">
      <c r="A70" s="404" t="s">
        <v>639</v>
      </c>
      <c r="B70" s="404"/>
      <c r="C70" s="404"/>
      <c r="D70" s="404">
        <v>48880</v>
      </c>
      <c r="E70" s="1620">
        <v>-9000</v>
      </c>
      <c r="F70" s="378" t="s">
        <v>630</v>
      </c>
    </row>
    <row r="71" spans="1:6">
      <c r="A71" s="1385" t="s">
        <v>594</v>
      </c>
      <c r="B71" s="1385">
        <v>1</v>
      </c>
      <c r="C71" s="1385">
        <v>2388.44</v>
      </c>
      <c r="D71" s="1385">
        <v>1490.7</v>
      </c>
      <c r="E71" s="1616">
        <v>-897.74</v>
      </c>
      <c r="F71" s="378"/>
    </row>
    <row r="72" spans="1:6">
      <c r="A72" s="1617" t="s">
        <v>640</v>
      </c>
      <c r="B72" s="1618" t="s">
        <v>562</v>
      </c>
      <c r="C72" s="1618"/>
      <c r="D72" s="1617">
        <v>481000</v>
      </c>
      <c r="E72" s="1619">
        <v>-67000</v>
      </c>
      <c r="F72" s="378" t="s">
        <v>620</v>
      </c>
    </row>
    <row r="73" spans="1:6">
      <c r="A73" s="404" t="s">
        <v>641</v>
      </c>
      <c r="B73" s="404"/>
      <c r="C73" s="404"/>
      <c r="D73" s="404">
        <v>1697</v>
      </c>
      <c r="E73" s="1620">
        <v>-137</v>
      </c>
      <c r="F73" s="378"/>
    </row>
    <row r="74" spans="1:6">
      <c r="A74" s="1385" t="s">
        <v>642</v>
      </c>
      <c r="B74" s="1385">
        <v>112</v>
      </c>
      <c r="C74" s="1385">
        <v>30526.720000000001</v>
      </c>
      <c r="D74" s="1385">
        <v>28425.599999999999</v>
      </c>
      <c r="E74" s="1616">
        <v>-2101.12</v>
      </c>
      <c r="F74" s="378"/>
    </row>
    <row r="75" spans="1:6">
      <c r="E75" s="444">
        <f>SUM(E74:E74)</f>
        <v>-2101.12</v>
      </c>
      <c r="F75" s="1641"/>
    </row>
  </sheetData>
  <autoFilter ref="A1:F75" xr:uid="{9F03D079-61C9-4E8A-8B2B-3C0FDDE071B0}">
    <sortState xmlns:xlrd2="http://schemas.microsoft.com/office/spreadsheetml/2017/richdata2" ref="A2:F75">
      <sortCondition ref="A1:A75"/>
    </sortState>
  </autoFilter>
  <pageMargins left="0.75" right="0.75" top="1" bottom="1" header="0.5" footer="0.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4E958A-8F2A-4838-9786-C807D3FBC87D}">
  <dimension ref="A1:P106"/>
  <sheetViews>
    <sheetView topLeftCell="A28" zoomScaleNormal="100" workbookViewId="0">
      <pane xSplit="2" topLeftCell="C88" activePane="topRight" state="frozen"/>
      <selection pane="topRight" activeCell="B28" sqref="B28"/>
      <selection activeCell="B1" sqref="B1"/>
    </sheetView>
  </sheetViews>
  <sheetFormatPr defaultRowHeight="14.45"/>
  <cols>
    <col min="1" max="1" width="4.28515625" customWidth="1"/>
    <col min="2" max="2" width="19.28515625" style="156" customWidth="1"/>
    <col min="7" max="7" width="8.7109375" style="912"/>
    <col min="8" max="8" width="8.7109375" style="913"/>
    <col min="10" max="10" width="8.7109375" style="1038"/>
    <col min="11" max="11" width="10.28515625" style="1038" customWidth="1"/>
    <col min="12" max="12" width="9.28515625" customWidth="1"/>
    <col min="13" max="13" width="6" customWidth="1"/>
    <col min="15" max="15" width="89" style="156" customWidth="1"/>
    <col min="16" max="16" width="67" customWidth="1"/>
  </cols>
  <sheetData>
    <row r="1" spans="1:16" s="30" customFormat="1" ht="50.1" customHeight="1">
      <c r="A1" s="34" t="s">
        <v>0</v>
      </c>
      <c r="B1" s="34" t="s">
        <v>1</v>
      </c>
      <c r="C1" s="34" t="s">
        <v>2</v>
      </c>
      <c r="D1" s="34" t="s">
        <v>3</v>
      </c>
      <c r="E1" s="34" t="s">
        <v>4</v>
      </c>
      <c r="F1" s="737" t="s">
        <v>5</v>
      </c>
      <c r="G1" s="772" t="s">
        <v>6</v>
      </c>
      <c r="H1" s="761" t="s">
        <v>7</v>
      </c>
      <c r="I1" s="714" t="s">
        <v>8</v>
      </c>
      <c r="J1" s="1022" t="s">
        <v>9</v>
      </c>
      <c r="K1" s="1022" t="s">
        <v>10</v>
      </c>
      <c r="L1" s="35"/>
      <c r="M1" s="586" t="s">
        <v>59</v>
      </c>
      <c r="N1" s="35"/>
      <c r="O1" s="413" t="s">
        <v>12</v>
      </c>
    </row>
    <row r="2" spans="1:16" s="31" customFormat="1" ht="14.1">
      <c r="A2" s="785" t="s">
        <v>182</v>
      </c>
      <c r="B2" s="74" t="s">
        <v>60</v>
      </c>
      <c r="C2" s="785" t="s">
        <v>61</v>
      </c>
      <c r="D2" s="785" t="s">
        <v>62</v>
      </c>
      <c r="E2" s="785" t="s">
        <v>63</v>
      </c>
      <c r="F2" s="738">
        <f t="shared" ref="F2:F33" si="0">D2*E2</f>
        <v>21170.719999999998</v>
      </c>
      <c r="G2" s="773">
        <v>444</v>
      </c>
      <c r="H2" s="762" t="str">
        <f>D2</f>
        <v>68.96</v>
      </c>
      <c r="I2" s="715">
        <f t="shared" ref="I2:I33" si="1">G2*H2</f>
        <v>30618.239999999998</v>
      </c>
      <c r="J2" s="1023">
        <f t="shared" ref="J2:J33" si="2">I2/F2-1</f>
        <v>0.44625407166123776</v>
      </c>
      <c r="K2" s="1039">
        <f t="shared" ref="K2:K33" si="3">C2*(1+J2)</f>
        <v>776.63843648208467</v>
      </c>
      <c r="L2" s="786" t="s">
        <v>14</v>
      </c>
      <c r="M2" s="594"/>
      <c r="N2" s="51"/>
      <c r="O2" s="372" t="s">
        <v>64</v>
      </c>
    </row>
    <row r="3" spans="1:16" s="31" customFormat="1" ht="14.1">
      <c r="A3" s="785" t="s">
        <v>186</v>
      </c>
      <c r="B3" s="74" t="s">
        <v>60</v>
      </c>
      <c r="C3" s="785" t="s">
        <v>61</v>
      </c>
      <c r="D3" s="785" t="s">
        <v>62</v>
      </c>
      <c r="E3" s="785" t="s">
        <v>63</v>
      </c>
      <c r="F3" s="738">
        <f t="shared" si="0"/>
        <v>21170.719999999998</v>
      </c>
      <c r="G3" s="773">
        <v>444</v>
      </c>
      <c r="H3" s="762">
        <v>50</v>
      </c>
      <c r="I3" s="715">
        <f t="shared" si="1"/>
        <v>22200</v>
      </c>
      <c r="J3" s="1023">
        <f t="shared" si="2"/>
        <v>4.8618091401709584E-2</v>
      </c>
      <c r="K3" s="1039">
        <f t="shared" si="3"/>
        <v>563.10791508271802</v>
      </c>
      <c r="L3" s="51"/>
      <c r="M3" s="594"/>
      <c r="N3" s="51"/>
      <c r="O3" s="372"/>
    </row>
    <row r="4" spans="1:16" s="31" customFormat="1" ht="14.1">
      <c r="A4" s="49">
        <v>1</v>
      </c>
      <c r="B4" s="70" t="s">
        <v>65</v>
      </c>
      <c r="C4" s="31">
        <v>298</v>
      </c>
      <c r="D4" s="31">
        <v>20.2</v>
      </c>
      <c r="E4" s="31">
        <v>30.2</v>
      </c>
      <c r="F4" s="739">
        <f t="shared" si="0"/>
        <v>610.04</v>
      </c>
      <c r="G4" s="773">
        <v>36</v>
      </c>
      <c r="H4" s="762">
        <f>D4</f>
        <v>20.2</v>
      </c>
      <c r="I4" s="716">
        <f t="shared" si="1"/>
        <v>727.19999999999993</v>
      </c>
      <c r="J4" s="1024">
        <f t="shared" si="2"/>
        <v>0.1920529801324502</v>
      </c>
      <c r="K4" s="1040">
        <f t="shared" si="3"/>
        <v>355.23178807947016</v>
      </c>
      <c r="L4" s="146" t="s">
        <v>14</v>
      </c>
      <c r="M4" s="555"/>
      <c r="N4" s="146" t="s">
        <v>35</v>
      </c>
      <c r="O4" s="414"/>
    </row>
    <row r="5" spans="1:16" s="31" customFormat="1" ht="14.1">
      <c r="A5" s="49">
        <v>2</v>
      </c>
      <c r="B5" s="70" t="s">
        <v>65</v>
      </c>
      <c r="C5" s="31">
        <v>298</v>
      </c>
      <c r="D5" s="31">
        <v>20.2</v>
      </c>
      <c r="E5" s="31">
        <v>30.2</v>
      </c>
      <c r="F5" s="739">
        <f t="shared" si="0"/>
        <v>610.04</v>
      </c>
      <c r="G5" s="773">
        <v>36</v>
      </c>
      <c r="H5" s="762">
        <v>37</v>
      </c>
      <c r="I5" s="716">
        <f t="shared" si="1"/>
        <v>1332</v>
      </c>
      <c r="J5" s="1024">
        <f t="shared" si="2"/>
        <v>1.183463379450528</v>
      </c>
      <c r="K5" s="1040">
        <f t="shared" si="3"/>
        <v>650.67208707625741</v>
      </c>
      <c r="L5" s="146" t="s">
        <v>14</v>
      </c>
      <c r="M5" s="555"/>
      <c r="O5" s="414"/>
    </row>
    <row r="6" spans="1:16" s="31" customFormat="1" ht="14.1">
      <c r="A6" s="51">
        <v>1</v>
      </c>
      <c r="B6" s="74" t="s">
        <v>68</v>
      </c>
      <c r="C6" s="52">
        <v>1435</v>
      </c>
      <c r="D6" s="52">
        <v>31</v>
      </c>
      <c r="E6" s="52">
        <v>63.2</v>
      </c>
      <c r="F6" s="738">
        <f t="shared" si="0"/>
        <v>1959.2</v>
      </c>
      <c r="G6" s="773">
        <v>70</v>
      </c>
      <c r="H6" s="762">
        <f>D6</f>
        <v>31</v>
      </c>
      <c r="I6" s="715">
        <f t="shared" si="1"/>
        <v>2170</v>
      </c>
      <c r="J6" s="1023">
        <f t="shared" si="2"/>
        <v>0.10759493670886067</v>
      </c>
      <c r="K6" s="1039">
        <f t="shared" si="3"/>
        <v>1589.3987341772151</v>
      </c>
      <c r="L6" s="55" t="s">
        <v>14</v>
      </c>
      <c r="M6" s="588"/>
      <c r="N6" s="56"/>
      <c r="O6" s="432" t="s">
        <v>69</v>
      </c>
      <c r="P6" s="30"/>
    </row>
    <row r="7" spans="1:16" s="31" customFormat="1" ht="14.1">
      <c r="A7" s="51">
        <v>2</v>
      </c>
      <c r="B7" s="74" t="s">
        <v>68</v>
      </c>
      <c r="C7" s="52">
        <v>1435</v>
      </c>
      <c r="D7" s="52">
        <v>31</v>
      </c>
      <c r="E7" s="52">
        <v>63.2</v>
      </c>
      <c r="F7" s="738">
        <f t="shared" si="0"/>
        <v>1959.2</v>
      </c>
      <c r="G7" s="773">
        <v>70</v>
      </c>
      <c r="H7" s="762">
        <v>28</v>
      </c>
      <c r="I7" s="715">
        <f t="shared" si="1"/>
        <v>1960</v>
      </c>
      <c r="J7" s="1023">
        <f t="shared" si="2"/>
        <v>4.083299305839283E-4</v>
      </c>
      <c r="K7" s="1039">
        <f t="shared" si="3"/>
        <v>1435.5859534503879</v>
      </c>
      <c r="L7" s="55" t="s">
        <v>14</v>
      </c>
      <c r="M7" s="588"/>
      <c r="N7" s="56"/>
      <c r="O7" s="432"/>
      <c r="P7" s="30"/>
    </row>
    <row r="8" spans="1:16" s="31" customFormat="1" ht="56.1">
      <c r="A8" s="233">
        <v>1</v>
      </c>
      <c r="B8" s="234" t="s">
        <v>70</v>
      </c>
      <c r="C8" s="235">
        <v>800</v>
      </c>
      <c r="D8" s="235">
        <v>27</v>
      </c>
      <c r="E8" s="235">
        <v>98.6</v>
      </c>
      <c r="F8" s="740">
        <f t="shared" si="0"/>
        <v>2662.2</v>
      </c>
      <c r="G8" s="773">
        <v>111</v>
      </c>
      <c r="H8" s="762">
        <v>25</v>
      </c>
      <c r="I8" s="717">
        <f t="shared" si="1"/>
        <v>2775</v>
      </c>
      <c r="J8" s="1025">
        <f t="shared" si="2"/>
        <v>4.2370971377056588E-2</v>
      </c>
      <c r="K8" s="1041">
        <f t="shared" si="3"/>
        <v>833.89677710164528</v>
      </c>
      <c r="L8" s="238"/>
      <c r="M8" s="589">
        <v>0.4</v>
      </c>
      <c r="N8" s="239" t="s">
        <v>71</v>
      </c>
      <c r="O8" s="507" t="s">
        <v>643</v>
      </c>
      <c r="P8" s="30"/>
    </row>
    <row r="9" spans="1:16" s="31" customFormat="1" ht="111.95">
      <c r="A9" s="233">
        <v>2</v>
      </c>
      <c r="B9" s="234" t="s">
        <v>70</v>
      </c>
      <c r="C9" s="235">
        <v>800</v>
      </c>
      <c r="D9" s="235">
        <v>27</v>
      </c>
      <c r="E9" s="235">
        <v>98.6</v>
      </c>
      <c r="F9" s="740">
        <f t="shared" si="0"/>
        <v>2662.2</v>
      </c>
      <c r="G9" s="773">
        <v>111</v>
      </c>
      <c r="H9" s="762">
        <v>30</v>
      </c>
      <c r="I9" s="717">
        <f t="shared" si="1"/>
        <v>3330</v>
      </c>
      <c r="J9" s="1025">
        <f t="shared" si="2"/>
        <v>0.25084516565246795</v>
      </c>
      <c r="K9" s="1041">
        <f t="shared" si="3"/>
        <v>1000.6761325219744</v>
      </c>
      <c r="L9" s="238"/>
      <c r="M9" s="589">
        <v>1.28</v>
      </c>
      <c r="N9" s="238"/>
      <c r="O9" s="431" t="s">
        <v>644</v>
      </c>
      <c r="P9" s="30"/>
    </row>
    <row r="10" spans="1:16" s="31" customFormat="1" ht="294">
      <c r="A10" s="51">
        <v>1</v>
      </c>
      <c r="B10" s="74" t="s">
        <v>83</v>
      </c>
      <c r="C10" s="52">
        <v>61.43</v>
      </c>
      <c r="D10" s="52">
        <v>19.2</v>
      </c>
      <c r="E10" s="52">
        <v>101</v>
      </c>
      <c r="F10" s="738">
        <f t="shared" si="0"/>
        <v>1939.1999999999998</v>
      </c>
      <c r="G10" s="773">
        <v>115</v>
      </c>
      <c r="H10" s="762">
        <v>25</v>
      </c>
      <c r="I10" s="715">
        <f t="shared" si="1"/>
        <v>2875</v>
      </c>
      <c r="J10" s="1023">
        <f t="shared" si="2"/>
        <v>0.48257013201320142</v>
      </c>
      <c r="K10" s="1039">
        <f t="shared" si="3"/>
        <v>91.074283209570964</v>
      </c>
      <c r="L10" s="55" t="s">
        <v>14</v>
      </c>
      <c r="M10" s="591"/>
      <c r="N10" s="56"/>
      <c r="O10" s="417" t="s">
        <v>645</v>
      </c>
      <c r="P10" s="30"/>
    </row>
    <row r="11" spans="1:16" s="31" customFormat="1" ht="69.95">
      <c r="A11" s="51">
        <v>2</v>
      </c>
      <c r="B11" s="74" t="s">
        <v>83</v>
      </c>
      <c r="C11" s="52">
        <v>61.43</v>
      </c>
      <c r="D11" s="52">
        <v>19.2</v>
      </c>
      <c r="E11" s="52">
        <v>90</v>
      </c>
      <c r="F11" s="738">
        <f t="shared" si="0"/>
        <v>1728</v>
      </c>
      <c r="G11" s="773">
        <v>105</v>
      </c>
      <c r="H11" s="762">
        <v>18</v>
      </c>
      <c r="I11" s="715">
        <f t="shared" si="1"/>
        <v>1890</v>
      </c>
      <c r="J11" s="1023">
        <f t="shared" si="2"/>
        <v>9.375E-2</v>
      </c>
      <c r="K11" s="1039">
        <f t="shared" si="3"/>
        <v>67.189062500000006</v>
      </c>
      <c r="L11" s="55" t="s">
        <v>14</v>
      </c>
      <c r="M11" s="588"/>
      <c r="N11" s="55" t="s">
        <v>51</v>
      </c>
      <c r="O11" s="417" t="s">
        <v>85</v>
      </c>
      <c r="P11" s="30"/>
    </row>
    <row r="12" spans="1:16" s="31" customFormat="1" ht="14.1">
      <c r="A12" s="175">
        <v>1</v>
      </c>
      <c r="B12" s="176" t="s">
        <v>94</v>
      </c>
      <c r="C12" s="175">
        <v>3352</v>
      </c>
      <c r="D12" s="175">
        <v>99.4</v>
      </c>
      <c r="E12" s="175">
        <v>189</v>
      </c>
      <c r="F12" s="742">
        <f t="shared" si="0"/>
        <v>18786.600000000002</v>
      </c>
      <c r="G12" s="775">
        <v>211</v>
      </c>
      <c r="H12" s="764">
        <f>D12</f>
        <v>99.4</v>
      </c>
      <c r="I12" s="719">
        <f t="shared" si="1"/>
        <v>20973.4</v>
      </c>
      <c r="J12" s="1026">
        <f t="shared" si="2"/>
        <v>0.11640211640211628</v>
      </c>
      <c r="K12" s="1042">
        <f t="shared" si="3"/>
        <v>3742.1798941798938</v>
      </c>
      <c r="L12" s="179"/>
      <c r="M12" s="592"/>
      <c r="N12" s="179"/>
      <c r="O12" s="423" t="s">
        <v>95</v>
      </c>
      <c r="P12" s="30"/>
    </row>
    <row r="13" spans="1:16" s="31" customFormat="1" ht="14.1">
      <c r="A13" s="175">
        <v>2</v>
      </c>
      <c r="B13" s="176" t="s">
        <v>94</v>
      </c>
      <c r="C13" s="175">
        <v>3352</v>
      </c>
      <c r="D13" s="175">
        <v>99.4</v>
      </c>
      <c r="E13" s="175">
        <v>189</v>
      </c>
      <c r="F13" s="742">
        <f t="shared" si="0"/>
        <v>18786.600000000002</v>
      </c>
      <c r="G13" s="775">
        <v>211</v>
      </c>
      <c r="H13" s="764">
        <v>84.6</v>
      </c>
      <c r="I13" s="719">
        <f t="shared" si="1"/>
        <v>17850.599999999999</v>
      </c>
      <c r="J13" s="1026">
        <f t="shared" si="2"/>
        <v>-4.9822745999808515E-2</v>
      </c>
      <c r="K13" s="1042">
        <f t="shared" si="3"/>
        <v>3184.9941554086417</v>
      </c>
      <c r="L13" s="179"/>
      <c r="M13" s="592"/>
      <c r="N13" s="179"/>
      <c r="O13" s="423"/>
      <c r="P13" s="30"/>
    </row>
    <row r="14" spans="1:16" s="31" customFormat="1" ht="14.1">
      <c r="A14" s="75">
        <v>1</v>
      </c>
      <c r="B14" s="76" t="s">
        <v>99</v>
      </c>
      <c r="C14" s="75">
        <v>383</v>
      </c>
      <c r="D14" s="75">
        <v>56.2</v>
      </c>
      <c r="E14" s="75">
        <v>75.8</v>
      </c>
      <c r="F14" s="743">
        <f t="shared" si="0"/>
        <v>4259.96</v>
      </c>
      <c r="G14" s="776">
        <v>90</v>
      </c>
      <c r="H14" s="765">
        <f>D14</f>
        <v>56.2</v>
      </c>
      <c r="I14" s="720">
        <f t="shared" si="1"/>
        <v>5058</v>
      </c>
      <c r="J14" s="1027">
        <f t="shared" si="2"/>
        <v>0.18733509234828505</v>
      </c>
      <c r="K14" s="1043">
        <f t="shared" si="3"/>
        <v>454.74934036939317</v>
      </c>
      <c r="L14" s="74" t="s">
        <v>14</v>
      </c>
      <c r="M14" s="587"/>
      <c r="N14" s="29" t="s">
        <v>100</v>
      </c>
      <c r="O14" s="419"/>
      <c r="P14" s="30"/>
    </row>
    <row r="15" spans="1:16" s="31" customFormat="1" ht="14.1">
      <c r="A15" s="75">
        <v>2</v>
      </c>
      <c r="B15" s="76" t="s">
        <v>99</v>
      </c>
      <c r="C15" s="75">
        <v>383</v>
      </c>
      <c r="D15" s="75">
        <v>56.2</v>
      </c>
      <c r="E15" s="75">
        <v>75.8</v>
      </c>
      <c r="F15" s="743">
        <f t="shared" si="0"/>
        <v>4259.96</v>
      </c>
      <c r="G15" s="776">
        <v>90</v>
      </c>
      <c r="H15" s="765">
        <v>81</v>
      </c>
      <c r="I15" s="720">
        <f t="shared" si="1"/>
        <v>7290</v>
      </c>
      <c r="J15" s="1027">
        <f t="shared" si="2"/>
        <v>0.71128367402510828</v>
      </c>
      <c r="K15" s="1043">
        <f t="shared" si="3"/>
        <v>655.42164715161653</v>
      </c>
      <c r="L15" s="74" t="s">
        <v>14</v>
      </c>
      <c r="M15" s="587"/>
      <c r="N15" s="75"/>
      <c r="O15" s="419"/>
      <c r="P15" s="30"/>
    </row>
    <row r="16" spans="1:16" s="456" customFormat="1" ht="117">
      <c r="A16" s="35">
        <v>1</v>
      </c>
      <c r="B16" s="579" t="s">
        <v>333</v>
      </c>
      <c r="C16" s="35">
        <v>321</v>
      </c>
      <c r="D16" s="35">
        <v>17.8</v>
      </c>
      <c r="E16" s="35">
        <v>186</v>
      </c>
      <c r="F16" s="737">
        <f t="shared" si="0"/>
        <v>3310.8</v>
      </c>
      <c r="G16" s="895">
        <v>207</v>
      </c>
      <c r="H16" s="895">
        <v>20</v>
      </c>
      <c r="I16" s="714">
        <f t="shared" si="1"/>
        <v>4140</v>
      </c>
      <c r="J16" s="1028">
        <f t="shared" si="2"/>
        <v>0.25045306270387813</v>
      </c>
      <c r="K16" s="1044">
        <f t="shared" si="3"/>
        <v>401.3954331279449</v>
      </c>
      <c r="L16" s="34"/>
      <c r="M16" s="586"/>
      <c r="N16" s="35"/>
      <c r="O16" s="896" t="s">
        <v>334</v>
      </c>
      <c r="P16" s="545"/>
    </row>
    <row r="17" spans="1:16" s="456" customFormat="1" ht="56.1">
      <c r="A17" s="35">
        <v>2</v>
      </c>
      <c r="B17" s="579" t="s">
        <v>333</v>
      </c>
      <c r="C17" s="35">
        <v>348</v>
      </c>
      <c r="D17" s="35">
        <v>19.399999999999999</v>
      </c>
      <c r="E17" s="35">
        <v>186</v>
      </c>
      <c r="F17" s="737">
        <f t="shared" si="0"/>
        <v>3608.3999999999996</v>
      </c>
      <c r="G17" s="895">
        <v>207</v>
      </c>
      <c r="H17" s="895">
        <v>24</v>
      </c>
      <c r="I17" s="714">
        <f t="shared" si="1"/>
        <v>4968</v>
      </c>
      <c r="J17" s="1028">
        <f t="shared" si="2"/>
        <v>0.37678749584303306</v>
      </c>
      <c r="K17" s="1044">
        <f t="shared" si="3"/>
        <v>479.12204855337552</v>
      </c>
      <c r="L17" s="34"/>
      <c r="M17" s="586"/>
      <c r="N17" s="35"/>
      <c r="O17" s="462" t="s">
        <v>335</v>
      </c>
      <c r="P17" s="545"/>
    </row>
    <row r="18" spans="1:16" s="180" customFormat="1" ht="42">
      <c r="A18" s="175">
        <v>1</v>
      </c>
      <c r="B18" s="176" t="s">
        <v>105</v>
      </c>
      <c r="C18" s="175">
        <v>860</v>
      </c>
      <c r="D18" s="175">
        <v>28.6</v>
      </c>
      <c r="E18" s="175">
        <v>167</v>
      </c>
      <c r="F18" s="742">
        <f t="shared" si="0"/>
        <v>4776.2</v>
      </c>
      <c r="G18" s="775">
        <v>222</v>
      </c>
      <c r="H18" s="764">
        <v>25</v>
      </c>
      <c r="I18" s="719">
        <f t="shared" si="1"/>
        <v>5550</v>
      </c>
      <c r="J18" s="1026">
        <f t="shared" si="2"/>
        <v>0.16201164105355725</v>
      </c>
      <c r="K18" s="1042">
        <f t="shared" si="3"/>
        <v>999.33001130605919</v>
      </c>
      <c r="L18" s="176" t="s">
        <v>14</v>
      </c>
      <c r="M18" s="592"/>
      <c r="N18" s="176" t="s">
        <v>161</v>
      </c>
      <c r="O18" s="423" t="s">
        <v>646</v>
      </c>
      <c r="P18" s="184"/>
    </row>
    <row r="19" spans="1:16" s="31" customFormat="1" ht="69.95">
      <c r="A19" s="175">
        <v>2</v>
      </c>
      <c r="B19" s="176" t="s">
        <v>105</v>
      </c>
      <c r="C19" s="175">
        <v>860</v>
      </c>
      <c r="D19" s="175">
        <v>28.6</v>
      </c>
      <c r="E19" s="175">
        <v>167</v>
      </c>
      <c r="F19" s="742">
        <f t="shared" si="0"/>
        <v>4776.2</v>
      </c>
      <c r="G19" s="775">
        <v>200</v>
      </c>
      <c r="H19" s="764">
        <v>39</v>
      </c>
      <c r="I19" s="719">
        <f t="shared" si="1"/>
        <v>7800</v>
      </c>
      <c r="J19" s="1026">
        <f t="shared" si="2"/>
        <v>0.63309744148067515</v>
      </c>
      <c r="K19" s="1042">
        <f t="shared" si="3"/>
        <v>1404.4637996733807</v>
      </c>
      <c r="L19" s="179"/>
      <c r="M19" s="592"/>
      <c r="N19" s="179"/>
      <c r="O19" s="423" t="s">
        <v>647</v>
      </c>
      <c r="P19" s="30"/>
    </row>
    <row r="20" spans="1:16" s="31" customFormat="1" ht="42">
      <c r="A20" s="57">
        <v>1</v>
      </c>
      <c r="B20" s="62" t="s">
        <v>107</v>
      </c>
      <c r="C20" s="57">
        <v>3276</v>
      </c>
      <c r="D20" s="57">
        <v>91.2</v>
      </c>
      <c r="E20" s="57">
        <v>87.9</v>
      </c>
      <c r="F20" s="744">
        <f t="shared" si="0"/>
        <v>8016.4800000000005</v>
      </c>
      <c r="G20" s="774">
        <v>110</v>
      </c>
      <c r="H20" s="763">
        <v>85</v>
      </c>
      <c r="I20" s="721">
        <f t="shared" si="1"/>
        <v>9350</v>
      </c>
      <c r="J20" s="1024">
        <f t="shared" si="2"/>
        <v>0.16634732451150613</v>
      </c>
      <c r="K20" s="1040">
        <f t="shared" si="3"/>
        <v>3820.9538350996941</v>
      </c>
      <c r="L20" s="62" t="s">
        <v>14</v>
      </c>
      <c r="M20" s="593">
        <v>0.78</v>
      </c>
      <c r="N20" s="62" t="s">
        <v>108</v>
      </c>
      <c r="O20" s="420" t="s">
        <v>648</v>
      </c>
      <c r="P20" s="30"/>
    </row>
    <row r="21" spans="1:16" s="31" customFormat="1" ht="14.1">
      <c r="A21" s="57">
        <v>2</v>
      </c>
      <c r="B21" s="62" t="s">
        <v>107</v>
      </c>
      <c r="C21" s="57">
        <v>3276</v>
      </c>
      <c r="D21" s="57">
        <v>91.2</v>
      </c>
      <c r="E21" s="57">
        <v>87.9</v>
      </c>
      <c r="F21" s="744">
        <f t="shared" si="0"/>
        <v>8016.4800000000005</v>
      </c>
      <c r="G21" s="774">
        <v>110</v>
      </c>
      <c r="H21" s="763">
        <v>70</v>
      </c>
      <c r="I21" s="721">
        <f t="shared" si="1"/>
        <v>7700</v>
      </c>
      <c r="J21" s="1024">
        <f t="shared" si="2"/>
        <v>-3.9478673931700792E-2</v>
      </c>
      <c r="K21" s="1040">
        <f t="shared" si="3"/>
        <v>3146.6678641997482</v>
      </c>
      <c r="L21" s="62" t="s">
        <v>14</v>
      </c>
      <c r="M21" s="593"/>
      <c r="N21" s="65"/>
      <c r="O21" s="420"/>
      <c r="P21" s="30"/>
    </row>
    <row r="22" spans="1:16" s="31" customFormat="1" ht="14.1">
      <c r="A22" s="51">
        <v>1</v>
      </c>
      <c r="B22" s="74" t="s">
        <v>109</v>
      </c>
      <c r="C22" s="51">
        <v>6404</v>
      </c>
      <c r="D22" s="51">
        <v>61.1</v>
      </c>
      <c r="E22" s="51">
        <v>163</v>
      </c>
      <c r="F22" s="745">
        <f t="shared" si="0"/>
        <v>9959.3000000000011</v>
      </c>
      <c r="G22" s="775">
        <v>184</v>
      </c>
      <c r="H22" s="764">
        <f>D22</f>
        <v>61.1</v>
      </c>
      <c r="I22" s="722">
        <f t="shared" si="1"/>
        <v>11242.4</v>
      </c>
      <c r="J22" s="1023">
        <f t="shared" si="2"/>
        <v>0.12883435582822078</v>
      </c>
      <c r="K22" s="1039">
        <f t="shared" si="3"/>
        <v>7229.0552147239259</v>
      </c>
      <c r="L22" s="74" t="s">
        <v>14</v>
      </c>
      <c r="M22" s="594"/>
      <c r="N22" s="74"/>
      <c r="O22" s="417" t="s">
        <v>110</v>
      </c>
      <c r="P22" s="30"/>
    </row>
    <row r="23" spans="1:16" s="31" customFormat="1" ht="14.1">
      <c r="A23" s="51">
        <v>2</v>
      </c>
      <c r="B23" s="74" t="s">
        <v>109</v>
      </c>
      <c r="C23" s="51">
        <v>6404</v>
      </c>
      <c r="D23" s="51">
        <v>61.1</v>
      </c>
      <c r="E23" s="51">
        <v>163</v>
      </c>
      <c r="F23" s="745">
        <f t="shared" si="0"/>
        <v>9959.3000000000011</v>
      </c>
      <c r="G23" s="775">
        <v>184</v>
      </c>
      <c r="H23" s="762">
        <v>50</v>
      </c>
      <c r="I23" s="722">
        <f t="shared" si="1"/>
        <v>9200</v>
      </c>
      <c r="J23" s="1023">
        <f t="shared" si="2"/>
        <v>-7.6240298012912655E-2</v>
      </c>
      <c r="K23" s="1039">
        <f t="shared" si="3"/>
        <v>5915.7571315253072</v>
      </c>
      <c r="L23" s="74" t="s">
        <v>14</v>
      </c>
      <c r="M23" s="588"/>
      <c r="N23" s="56"/>
      <c r="O23" s="432"/>
      <c r="P23" s="30"/>
    </row>
    <row r="24" spans="1:16" s="180" customFormat="1" ht="27.95">
      <c r="A24" s="657">
        <v>1</v>
      </c>
      <c r="B24" s="658" t="s">
        <v>111</v>
      </c>
      <c r="C24" s="657">
        <v>3212</v>
      </c>
      <c r="D24" s="657">
        <v>30</v>
      </c>
      <c r="E24" s="657">
        <v>248</v>
      </c>
      <c r="F24" s="747">
        <f t="shared" si="0"/>
        <v>7440</v>
      </c>
      <c r="G24" s="778">
        <v>315</v>
      </c>
      <c r="H24" s="767">
        <v>25</v>
      </c>
      <c r="I24" s="723">
        <f t="shared" si="1"/>
        <v>7875</v>
      </c>
      <c r="J24" s="1029">
        <f t="shared" si="2"/>
        <v>5.8467741935483764E-2</v>
      </c>
      <c r="K24" s="1045">
        <f t="shared" si="3"/>
        <v>3399.7983870967737</v>
      </c>
      <c r="L24" s="658" t="s">
        <v>14</v>
      </c>
      <c r="M24" s="659"/>
      <c r="N24" s="658" t="s">
        <v>112</v>
      </c>
      <c r="O24" s="660" t="s">
        <v>649</v>
      </c>
      <c r="P24" s="184"/>
    </row>
    <row r="25" spans="1:16" s="180" customFormat="1" ht="27.95">
      <c r="A25" s="657">
        <v>2</v>
      </c>
      <c r="B25" s="658" t="s">
        <v>111</v>
      </c>
      <c r="C25" s="657">
        <v>3212</v>
      </c>
      <c r="D25" s="657">
        <v>30</v>
      </c>
      <c r="E25" s="657">
        <v>248</v>
      </c>
      <c r="F25" s="747">
        <f t="shared" si="0"/>
        <v>7440</v>
      </c>
      <c r="G25" s="778">
        <v>315</v>
      </c>
      <c r="H25" s="767">
        <v>30</v>
      </c>
      <c r="I25" s="723">
        <f t="shared" si="1"/>
        <v>9450</v>
      </c>
      <c r="J25" s="1029">
        <f t="shared" si="2"/>
        <v>0.27016129032258074</v>
      </c>
      <c r="K25" s="1045">
        <f t="shared" si="3"/>
        <v>4079.7580645161293</v>
      </c>
      <c r="L25" s="658" t="s">
        <v>14</v>
      </c>
      <c r="M25" s="659"/>
      <c r="N25" s="658" t="s">
        <v>112</v>
      </c>
      <c r="O25" s="660" t="s">
        <v>114</v>
      </c>
      <c r="P25" s="184"/>
    </row>
    <row r="26" spans="1:16" s="31" customFormat="1" ht="153.94999999999999">
      <c r="A26" s="179">
        <v>1</v>
      </c>
      <c r="B26" s="176" t="s">
        <v>118</v>
      </c>
      <c r="C26" s="179">
        <v>189</v>
      </c>
      <c r="D26" s="179">
        <v>12.7</v>
      </c>
      <c r="E26" s="179">
        <v>992</v>
      </c>
      <c r="F26" s="749">
        <f t="shared" si="0"/>
        <v>12598.4</v>
      </c>
      <c r="G26" s="776">
        <v>1160</v>
      </c>
      <c r="H26" s="765">
        <v>15</v>
      </c>
      <c r="I26" s="725">
        <f t="shared" si="1"/>
        <v>17400</v>
      </c>
      <c r="J26" s="1029">
        <f t="shared" si="2"/>
        <v>0.38112776225552447</v>
      </c>
      <c r="K26" s="1045">
        <f t="shared" si="3"/>
        <v>261.03314706629413</v>
      </c>
      <c r="L26" s="179"/>
      <c r="M26" s="596">
        <v>0.66</v>
      </c>
      <c r="N26" s="179"/>
      <c r="O26" s="422" t="s">
        <v>336</v>
      </c>
      <c r="P26" s="179" t="s">
        <v>120</v>
      </c>
    </row>
    <row r="27" spans="1:16" s="180" customFormat="1" ht="111.95">
      <c r="A27" s="179">
        <v>2</v>
      </c>
      <c r="B27" s="176" t="s">
        <v>118</v>
      </c>
      <c r="C27" s="179">
        <v>944</v>
      </c>
      <c r="D27" s="179">
        <v>13.1</v>
      </c>
      <c r="E27" s="179">
        <v>992</v>
      </c>
      <c r="F27" s="749">
        <f t="shared" si="0"/>
        <v>12995.199999999999</v>
      </c>
      <c r="G27" s="776">
        <v>1000</v>
      </c>
      <c r="H27" s="765">
        <v>29.7</v>
      </c>
      <c r="I27" s="725">
        <f t="shared" si="1"/>
        <v>29700</v>
      </c>
      <c r="J27" s="1029">
        <f t="shared" si="2"/>
        <v>1.2854592464910124</v>
      </c>
      <c r="K27" s="1045">
        <f t="shared" si="3"/>
        <v>2157.4735286875157</v>
      </c>
      <c r="L27" s="179"/>
      <c r="M27" s="596">
        <v>1.1499999999999999</v>
      </c>
      <c r="N27" s="179"/>
      <c r="O27" s="423" t="s">
        <v>121</v>
      </c>
      <c r="P27" s="546" t="s">
        <v>122</v>
      </c>
    </row>
    <row r="28" spans="1:16" s="31" customFormat="1" ht="140.1">
      <c r="A28" s="71">
        <v>1</v>
      </c>
      <c r="B28" s="69" t="s">
        <v>123</v>
      </c>
      <c r="C28" s="71">
        <v>943</v>
      </c>
      <c r="D28" s="71">
        <v>22</v>
      </c>
      <c r="E28" s="71">
        <v>140</v>
      </c>
      <c r="F28" s="750">
        <f t="shared" si="0"/>
        <v>3080</v>
      </c>
      <c r="G28" s="776">
        <v>164</v>
      </c>
      <c r="H28" s="765">
        <f>D28</f>
        <v>22</v>
      </c>
      <c r="I28" s="726">
        <f t="shared" si="1"/>
        <v>3608</v>
      </c>
      <c r="J28" s="1030">
        <f t="shared" si="2"/>
        <v>0.17142857142857149</v>
      </c>
      <c r="K28" s="1046">
        <f t="shared" si="3"/>
        <v>1104.6571428571428</v>
      </c>
      <c r="L28" s="69" t="s">
        <v>14</v>
      </c>
      <c r="M28" s="597">
        <v>0.2</v>
      </c>
      <c r="N28" s="69"/>
      <c r="O28" s="693" t="s">
        <v>247</v>
      </c>
      <c r="P28" s="30"/>
    </row>
    <row r="29" spans="1:16" s="31" customFormat="1" ht="111.95">
      <c r="A29" s="71">
        <v>2</v>
      </c>
      <c r="B29" s="69" t="s">
        <v>123</v>
      </c>
      <c r="C29" s="71">
        <v>943</v>
      </c>
      <c r="D29" s="71">
        <v>22</v>
      </c>
      <c r="E29" s="71">
        <v>140</v>
      </c>
      <c r="F29" s="750">
        <f t="shared" si="0"/>
        <v>3080</v>
      </c>
      <c r="G29" s="776">
        <v>160</v>
      </c>
      <c r="H29" s="765">
        <v>28.2</v>
      </c>
      <c r="I29" s="726">
        <f t="shared" si="1"/>
        <v>4512</v>
      </c>
      <c r="J29" s="1030">
        <f t="shared" si="2"/>
        <v>0.46493506493506498</v>
      </c>
      <c r="K29" s="1046">
        <f t="shared" si="3"/>
        <v>1381.4337662337662</v>
      </c>
      <c r="L29" s="69" t="s">
        <v>14</v>
      </c>
      <c r="M29" s="597"/>
      <c r="N29" s="71"/>
      <c r="O29" s="424" t="s">
        <v>248</v>
      </c>
      <c r="P29" s="30"/>
    </row>
    <row r="30" spans="1:16" s="31" customFormat="1" ht="180.75" customHeight="1">
      <c r="A30" s="75">
        <v>1</v>
      </c>
      <c r="B30" s="74" t="s">
        <v>126</v>
      </c>
      <c r="C30" s="75">
        <v>763</v>
      </c>
      <c r="D30" s="75">
        <v>55.3</v>
      </c>
      <c r="E30" s="75">
        <v>26.1</v>
      </c>
      <c r="F30" s="743">
        <f t="shared" si="0"/>
        <v>1443.33</v>
      </c>
      <c r="G30" s="776">
        <v>32</v>
      </c>
      <c r="H30" s="765">
        <f>D30</f>
        <v>55.3</v>
      </c>
      <c r="I30" s="720">
        <f t="shared" si="1"/>
        <v>1769.6</v>
      </c>
      <c r="J30" s="1027">
        <f t="shared" si="2"/>
        <v>0.2260536398467432</v>
      </c>
      <c r="K30" s="1043">
        <f t="shared" si="3"/>
        <v>935.47892720306504</v>
      </c>
      <c r="L30" s="74" t="s">
        <v>14</v>
      </c>
      <c r="M30" s="587"/>
      <c r="N30" s="74" t="s">
        <v>127</v>
      </c>
      <c r="O30" s="372" t="s">
        <v>650</v>
      </c>
      <c r="P30" s="30"/>
    </row>
    <row r="31" spans="1:16" s="31" customFormat="1" ht="14.1">
      <c r="A31" s="75">
        <v>2</v>
      </c>
      <c r="B31" s="74" t="s">
        <v>126</v>
      </c>
      <c r="C31" s="75">
        <v>916</v>
      </c>
      <c r="D31" s="75">
        <v>55.3</v>
      </c>
      <c r="E31" s="75">
        <v>26.1</v>
      </c>
      <c r="F31" s="743">
        <f t="shared" si="0"/>
        <v>1443.33</v>
      </c>
      <c r="G31" s="776">
        <v>30</v>
      </c>
      <c r="H31" s="765">
        <v>61.3</v>
      </c>
      <c r="I31" s="720">
        <f t="shared" si="1"/>
        <v>1839</v>
      </c>
      <c r="J31" s="1027">
        <f t="shared" si="2"/>
        <v>0.27413689177111267</v>
      </c>
      <c r="K31" s="1043">
        <f t="shared" si="3"/>
        <v>1167.1093928623393</v>
      </c>
      <c r="L31" s="75"/>
      <c r="M31" s="587">
        <v>0.22</v>
      </c>
      <c r="N31" s="75"/>
      <c r="O31" s="426"/>
      <c r="P31" s="30"/>
    </row>
    <row r="32" spans="1:16" s="52" customFormat="1" ht="89.85" customHeight="1">
      <c r="A32" s="253">
        <v>1</v>
      </c>
      <c r="B32" s="252" t="s">
        <v>130</v>
      </c>
      <c r="C32" s="253">
        <v>732</v>
      </c>
      <c r="D32" s="253">
        <v>116</v>
      </c>
      <c r="E32" s="253">
        <v>27.2</v>
      </c>
      <c r="F32" s="751">
        <f t="shared" si="0"/>
        <v>3155.2</v>
      </c>
      <c r="G32" s="780">
        <v>77</v>
      </c>
      <c r="H32" s="769">
        <v>70</v>
      </c>
      <c r="I32" s="727">
        <f t="shared" si="1"/>
        <v>5390</v>
      </c>
      <c r="J32" s="1027">
        <f t="shared" si="2"/>
        <v>0.70829107505071009</v>
      </c>
      <c r="K32" s="1043">
        <f t="shared" si="3"/>
        <v>1250.4690669371198</v>
      </c>
      <c r="L32" s="252" t="s">
        <v>14</v>
      </c>
      <c r="M32" s="598">
        <v>0.8</v>
      </c>
      <c r="N32" s="253"/>
      <c r="O32" s="419" t="s">
        <v>131</v>
      </c>
      <c r="P32" s="56"/>
    </row>
    <row r="33" spans="1:16" s="52" customFormat="1" ht="145.35" customHeight="1">
      <c r="A33" s="253">
        <v>2</v>
      </c>
      <c r="B33" s="252" t="s">
        <v>132</v>
      </c>
      <c r="C33" s="253">
        <v>732</v>
      </c>
      <c r="D33" s="253">
        <v>116</v>
      </c>
      <c r="E33" s="253">
        <v>47.8</v>
      </c>
      <c r="F33" s="751">
        <f t="shared" si="0"/>
        <v>5544.7999999999993</v>
      </c>
      <c r="G33" s="780">
        <v>84</v>
      </c>
      <c r="H33" s="769">
        <v>81</v>
      </c>
      <c r="I33" s="727">
        <f t="shared" si="1"/>
        <v>6804</v>
      </c>
      <c r="J33" s="1027">
        <f t="shared" si="2"/>
        <v>0.22709565719232461</v>
      </c>
      <c r="K33" s="1043">
        <f t="shared" si="3"/>
        <v>898.23402106478159</v>
      </c>
      <c r="L33" s="253"/>
      <c r="M33" s="598"/>
      <c r="N33" s="253"/>
      <c r="O33" s="419" t="s">
        <v>651</v>
      </c>
      <c r="P33" s="56"/>
    </row>
    <row r="34" spans="1:16" s="31" customFormat="1" ht="98.1">
      <c r="A34" s="75">
        <v>1</v>
      </c>
      <c r="B34" s="74" t="s">
        <v>135</v>
      </c>
      <c r="C34" s="75">
        <v>1777</v>
      </c>
      <c r="D34" s="75">
        <v>38.299999999999997</v>
      </c>
      <c r="E34" s="75">
        <v>49.2</v>
      </c>
      <c r="F34" s="743">
        <f t="shared" ref="F34:F62" si="4">D34*E34</f>
        <v>1884.36</v>
      </c>
      <c r="G34" s="776">
        <v>60</v>
      </c>
      <c r="H34" s="765">
        <v>40</v>
      </c>
      <c r="I34" s="720">
        <f t="shared" ref="I34:I62" si="5">G34*H34</f>
        <v>2400</v>
      </c>
      <c r="J34" s="1027">
        <f t="shared" ref="J34:J62" si="6">I34/F34-1</f>
        <v>0.27364197923963585</v>
      </c>
      <c r="K34" s="1043">
        <f t="shared" ref="K34:K62" si="7">C34*(1+J34)</f>
        <v>2263.261797108833</v>
      </c>
      <c r="L34" s="74" t="s">
        <v>652</v>
      </c>
      <c r="M34" s="587"/>
      <c r="N34" s="74"/>
      <c r="O34" s="419" t="s">
        <v>337</v>
      </c>
      <c r="P34" s="30"/>
    </row>
    <row r="35" spans="1:16" s="31" customFormat="1" ht="65.849999999999994" customHeight="1">
      <c r="A35" s="75">
        <v>2</v>
      </c>
      <c r="B35" s="74" t="s">
        <v>135</v>
      </c>
      <c r="C35" s="75">
        <v>1777</v>
      </c>
      <c r="D35" s="75">
        <v>38.299999999999997</v>
      </c>
      <c r="E35" s="75">
        <v>49.2</v>
      </c>
      <c r="F35" s="743">
        <f t="shared" si="4"/>
        <v>1884.36</v>
      </c>
      <c r="G35" s="776">
        <v>60</v>
      </c>
      <c r="H35" s="765">
        <v>30</v>
      </c>
      <c r="I35" s="720">
        <f t="shared" si="5"/>
        <v>1800</v>
      </c>
      <c r="J35" s="1027">
        <f t="shared" si="6"/>
        <v>-4.4768515570273171E-2</v>
      </c>
      <c r="K35" s="1043">
        <f t="shared" si="7"/>
        <v>1697.4463478316245</v>
      </c>
      <c r="L35" s="74"/>
      <c r="M35" s="587"/>
      <c r="N35" s="75"/>
      <c r="O35" s="419"/>
      <c r="P35" s="30"/>
    </row>
    <row r="36" spans="1:16" s="31" customFormat="1" ht="27.95">
      <c r="A36" s="449">
        <v>1</v>
      </c>
      <c r="B36" s="234" t="s">
        <v>137</v>
      </c>
      <c r="C36" s="449">
        <v>4238</v>
      </c>
      <c r="D36" s="449">
        <v>60.2</v>
      </c>
      <c r="E36" s="449">
        <v>222</v>
      </c>
      <c r="F36" s="752">
        <f t="shared" si="4"/>
        <v>13364.400000000001</v>
      </c>
      <c r="G36" s="776">
        <v>231</v>
      </c>
      <c r="H36" s="765">
        <f>D36</f>
        <v>60.2</v>
      </c>
      <c r="I36" s="728">
        <f t="shared" si="5"/>
        <v>13906.2</v>
      </c>
      <c r="J36" s="1031">
        <f t="shared" si="6"/>
        <v>4.0540540540540571E-2</v>
      </c>
      <c r="K36" s="1047">
        <f t="shared" si="7"/>
        <v>4409.8108108108108</v>
      </c>
      <c r="L36" s="234" t="s">
        <v>47</v>
      </c>
      <c r="M36" s="599"/>
      <c r="N36" s="449"/>
      <c r="O36" s="450" t="s">
        <v>138</v>
      </c>
      <c r="P36" s="30"/>
    </row>
    <row r="37" spans="1:16" s="31" customFormat="1" ht="27.95">
      <c r="A37" s="449">
        <v>2</v>
      </c>
      <c r="B37" s="234" t="s">
        <v>137</v>
      </c>
      <c r="C37" s="449">
        <v>4238</v>
      </c>
      <c r="D37" s="449">
        <v>60.2</v>
      </c>
      <c r="E37" s="449">
        <v>222</v>
      </c>
      <c r="F37" s="752">
        <f t="shared" si="4"/>
        <v>13364.400000000001</v>
      </c>
      <c r="G37" s="776">
        <v>231</v>
      </c>
      <c r="H37" s="765">
        <f>D37</f>
        <v>60.2</v>
      </c>
      <c r="I37" s="728">
        <f t="shared" si="5"/>
        <v>13906.2</v>
      </c>
      <c r="J37" s="1031">
        <f t="shared" si="6"/>
        <v>4.0540540540540571E-2</v>
      </c>
      <c r="K37" s="1047">
        <f t="shared" si="7"/>
        <v>4409.8108108108108</v>
      </c>
      <c r="L37" s="234"/>
      <c r="M37" s="599"/>
      <c r="N37" s="449"/>
      <c r="O37" s="450" t="s">
        <v>139</v>
      </c>
      <c r="P37" s="30"/>
    </row>
    <row r="38" spans="1:16" s="180" customFormat="1" ht="98.1">
      <c r="A38" s="179"/>
      <c r="B38" s="176" t="s">
        <v>653</v>
      </c>
      <c r="C38" s="179">
        <v>707</v>
      </c>
      <c r="D38" s="179">
        <v>50</v>
      </c>
      <c r="E38" s="179">
        <v>207</v>
      </c>
      <c r="F38" s="749">
        <f t="shared" si="4"/>
        <v>10350</v>
      </c>
      <c r="G38" s="776">
        <v>225</v>
      </c>
      <c r="H38" s="765">
        <v>50</v>
      </c>
      <c r="I38" s="725">
        <f t="shared" si="5"/>
        <v>11250</v>
      </c>
      <c r="J38" s="1029">
        <f t="shared" si="6"/>
        <v>8.6956521739130377E-2</v>
      </c>
      <c r="K38" s="1045">
        <f t="shared" si="7"/>
        <v>768.47826086956513</v>
      </c>
      <c r="L38" s="176"/>
      <c r="M38" s="596"/>
      <c r="N38" s="179"/>
      <c r="O38" s="423" t="s">
        <v>654</v>
      </c>
      <c r="P38" s="184"/>
    </row>
    <row r="39" spans="1:16" s="180" customFormat="1" ht="27.95">
      <c r="A39" s="179"/>
      <c r="B39" s="176" t="s">
        <v>653</v>
      </c>
      <c r="C39" s="179">
        <v>707</v>
      </c>
      <c r="D39" s="179">
        <v>50</v>
      </c>
      <c r="E39" s="179">
        <v>207</v>
      </c>
      <c r="F39" s="749">
        <f t="shared" si="4"/>
        <v>10350</v>
      </c>
      <c r="G39" s="776">
        <v>225</v>
      </c>
      <c r="H39" s="765">
        <v>47</v>
      </c>
      <c r="I39" s="725">
        <f t="shared" si="5"/>
        <v>10575</v>
      </c>
      <c r="J39" s="1029">
        <f t="shared" si="6"/>
        <v>2.1739130434782705E-2</v>
      </c>
      <c r="K39" s="1045">
        <f t="shared" si="7"/>
        <v>722.36956521739137</v>
      </c>
      <c r="L39" s="176"/>
      <c r="M39" s="596"/>
      <c r="N39" s="179"/>
      <c r="O39" s="423" t="s">
        <v>655</v>
      </c>
      <c r="P39" s="184"/>
    </row>
    <row r="40" spans="1:16" s="31" customFormat="1" ht="168">
      <c r="A40" s="35">
        <v>1</v>
      </c>
      <c r="B40" s="34" t="s">
        <v>140</v>
      </c>
      <c r="C40" s="35">
        <v>914</v>
      </c>
      <c r="D40" s="35">
        <v>17.7</v>
      </c>
      <c r="E40" s="35">
        <v>918</v>
      </c>
      <c r="F40" s="737">
        <f t="shared" si="4"/>
        <v>16248.599999999999</v>
      </c>
      <c r="G40" s="776">
        <v>1060</v>
      </c>
      <c r="H40" s="765">
        <v>17</v>
      </c>
      <c r="I40" s="714">
        <f t="shared" si="5"/>
        <v>18020</v>
      </c>
      <c r="J40" s="1028">
        <f t="shared" si="6"/>
        <v>0.1090186231429171</v>
      </c>
      <c r="K40" s="1044">
        <f t="shared" si="7"/>
        <v>1013.6430215526262</v>
      </c>
      <c r="L40" s="34" t="s">
        <v>14</v>
      </c>
      <c r="M40" s="586">
        <v>0.21</v>
      </c>
      <c r="N40" s="34"/>
      <c r="O40" s="462" t="s">
        <v>656</v>
      </c>
      <c r="P40" s="30"/>
    </row>
    <row r="41" spans="1:16" s="31" customFormat="1" ht="134.25" customHeight="1">
      <c r="A41" s="35">
        <v>2</v>
      </c>
      <c r="B41" s="34" t="s">
        <v>140</v>
      </c>
      <c r="C41" s="35">
        <v>914</v>
      </c>
      <c r="D41" s="35">
        <v>17.7</v>
      </c>
      <c r="E41" s="35">
        <v>918</v>
      </c>
      <c r="F41" s="737">
        <f t="shared" si="4"/>
        <v>16248.599999999999</v>
      </c>
      <c r="G41" s="776">
        <v>1200</v>
      </c>
      <c r="H41" s="765">
        <v>20</v>
      </c>
      <c r="I41" s="714">
        <f t="shared" si="5"/>
        <v>24000</v>
      </c>
      <c r="J41" s="1028">
        <f t="shared" si="6"/>
        <v>0.47705033049001155</v>
      </c>
      <c r="K41" s="1044">
        <f t="shared" si="7"/>
        <v>1350.0240020678705</v>
      </c>
      <c r="L41" s="34" t="s">
        <v>14</v>
      </c>
      <c r="M41" s="586">
        <v>1.64</v>
      </c>
      <c r="N41" s="35"/>
      <c r="O41" s="462" t="s">
        <v>657</v>
      </c>
      <c r="P41" s="30"/>
    </row>
    <row r="42" spans="1:16" s="31" customFormat="1" ht="108" customHeight="1">
      <c r="A42" s="49">
        <v>1</v>
      </c>
      <c r="B42" s="69" t="s">
        <v>144</v>
      </c>
      <c r="C42" s="49">
        <v>472</v>
      </c>
      <c r="D42" s="49">
        <v>45.6</v>
      </c>
      <c r="E42" s="49">
        <v>43.3</v>
      </c>
      <c r="F42" s="753">
        <f t="shared" si="4"/>
        <v>1974.48</v>
      </c>
      <c r="G42" s="775">
        <v>67</v>
      </c>
      <c r="H42" s="764">
        <v>35</v>
      </c>
      <c r="I42" s="729">
        <f t="shared" si="5"/>
        <v>2345</v>
      </c>
      <c r="J42" s="1024">
        <f t="shared" si="6"/>
        <v>0.18765447105060562</v>
      </c>
      <c r="K42" s="1040">
        <f t="shared" si="7"/>
        <v>560.57291033588581</v>
      </c>
      <c r="L42" s="69" t="s">
        <v>14</v>
      </c>
      <c r="M42" s="600">
        <v>0.66</v>
      </c>
      <c r="N42" s="69" t="s">
        <v>58</v>
      </c>
      <c r="O42" s="424" t="s">
        <v>658</v>
      </c>
      <c r="P42" s="30"/>
    </row>
    <row r="43" spans="1:16" s="31" customFormat="1" ht="125.1" customHeight="1">
      <c r="A43" s="49">
        <v>2</v>
      </c>
      <c r="B43" s="69" t="s">
        <v>144</v>
      </c>
      <c r="C43" s="49">
        <v>428</v>
      </c>
      <c r="D43" s="49">
        <v>41.4</v>
      </c>
      <c r="E43" s="49">
        <v>43.3</v>
      </c>
      <c r="F43" s="753">
        <f t="shared" si="4"/>
        <v>1792.62</v>
      </c>
      <c r="G43" s="775">
        <v>58</v>
      </c>
      <c r="H43" s="764">
        <v>40</v>
      </c>
      <c r="I43" s="729">
        <f t="shared" si="5"/>
        <v>2320</v>
      </c>
      <c r="J43" s="1024">
        <f t="shared" si="6"/>
        <v>0.29419508875277534</v>
      </c>
      <c r="K43" s="1040">
        <f t="shared" si="7"/>
        <v>553.9154979861878</v>
      </c>
      <c r="L43" s="69" t="s">
        <v>14</v>
      </c>
      <c r="M43" s="600"/>
      <c r="N43" s="71"/>
      <c r="O43" s="424" t="s">
        <v>659</v>
      </c>
      <c r="P43" s="30"/>
    </row>
    <row r="44" spans="1:16" s="31" customFormat="1" ht="42">
      <c r="A44" s="57">
        <v>1</v>
      </c>
      <c r="B44" s="62" t="s">
        <v>153</v>
      </c>
      <c r="C44" s="58">
        <v>211</v>
      </c>
      <c r="D44" s="58">
        <v>26.9</v>
      </c>
      <c r="E44" s="58">
        <v>303</v>
      </c>
      <c r="F44" s="754">
        <f t="shared" si="4"/>
        <v>8150.7</v>
      </c>
      <c r="G44" s="777">
        <v>311</v>
      </c>
      <c r="H44" s="766">
        <f>D44</f>
        <v>26.9</v>
      </c>
      <c r="I44" s="730">
        <f t="shared" si="5"/>
        <v>8365.9</v>
      </c>
      <c r="J44" s="1024">
        <f t="shared" si="6"/>
        <v>2.6402640264026278E-2</v>
      </c>
      <c r="K44" s="1040">
        <f t="shared" si="7"/>
        <v>216.57095709570953</v>
      </c>
      <c r="L44" s="359" t="s">
        <v>154</v>
      </c>
      <c r="M44" s="601"/>
      <c r="N44" s="359" t="s">
        <v>155</v>
      </c>
      <c r="O44" s="414"/>
      <c r="P44" s="30"/>
    </row>
    <row r="45" spans="1:16" s="31" customFormat="1" ht="14.1">
      <c r="A45" s="57">
        <v>2</v>
      </c>
      <c r="B45" s="62" t="s">
        <v>153</v>
      </c>
      <c r="C45" s="58">
        <v>201</v>
      </c>
      <c r="D45" s="58">
        <v>24.8</v>
      </c>
      <c r="E45" s="58">
        <v>303</v>
      </c>
      <c r="F45" s="754">
        <f t="shared" si="4"/>
        <v>7514.4000000000005</v>
      </c>
      <c r="G45" s="777">
        <v>311</v>
      </c>
      <c r="H45" s="766">
        <v>39</v>
      </c>
      <c r="I45" s="730">
        <f t="shared" si="5"/>
        <v>12129</v>
      </c>
      <c r="J45" s="1024">
        <f t="shared" si="6"/>
        <v>0.61410092622165435</v>
      </c>
      <c r="K45" s="1040">
        <f t="shared" si="7"/>
        <v>324.43428617055253</v>
      </c>
      <c r="L45" s="359"/>
      <c r="M45" s="601"/>
      <c r="N45" s="61"/>
      <c r="O45" s="414"/>
      <c r="P45" s="30"/>
    </row>
    <row r="46" spans="1:16" s="31" customFormat="1" ht="190.5">
      <c r="A46" s="251">
        <v>1</v>
      </c>
      <c r="B46" s="538" t="s">
        <v>383</v>
      </c>
      <c r="C46" s="167">
        <v>1538</v>
      </c>
      <c r="D46" s="705">
        <v>16.8</v>
      </c>
      <c r="E46" s="167">
        <v>1636</v>
      </c>
      <c r="F46" s="930">
        <f>D46*E46</f>
        <v>27484.800000000003</v>
      </c>
      <c r="G46" s="935">
        <v>1800</v>
      </c>
      <c r="H46" s="936">
        <f>D46</f>
        <v>16.8</v>
      </c>
      <c r="I46" s="932">
        <f>G46*H46</f>
        <v>30240</v>
      </c>
      <c r="J46" s="1032">
        <f>I46/F46-1</f>
        <v>0.10024449877750596</v>
      </c>
      <c r="K46" s="1048">
        <f>C46*(1+J46)</f>
        <v>1692.1760391198043</v>
      </c>
      <c r="L46" s="564" t="s">
        <v>14</v>
      </c>
      <c r="M46" s="1196"/>
      <c r="N46" s="1197"/>
      <c r="O46" s="1198" t="s">
        <v>660</v>
      </c>
      <c r="P46" s="30"/>
    </row>
    <row r="47" spans="1:16" s="31" customFormat="1" ht="82.35" customHeight="1">
      <c r="A47" s="251">
        <v>2</v>
      </c>
      <c r="B47" s="538" t="s">
        <v>383</v>
      </c>
      <c r="C47" s="167">
        <v>1538</v>
      </c>
      <c r="D47" s="705">
        <v>16.8</v>
      </c>
      <c r="E47" s="167">
        <v>1636</v>
      </c>
      <c r="F47" s="930">
        <f>D47*E47</f>
        <v>27484.800000000003</v>
      </c>
      <c r="G47" s="935">
        <v>1850</v>
      </c>
      <c r="H47" s="936">
        <v>15</v>
      </c>
      <c r="I47" s="932">
        <f>G47*H47</f>
        <v>27750</v>
      </c>
      <c r="J47" s="1032">
        <f>I47/F47-1</f>
        <v>9.6489696122947777E-3</v>
      </c>
      <c r="K47" s="1048">
        <f>C47*(1+J47)</f>
        <v>1552.8401152637093</v>
      </c>
      <c r="L47" s="564" t="s">
        <v>14</v>
      </c>
      <c r="M47" s="1196"/>
      <c r="N47" s="1197"/>
      <c r="O47" s="1199" t="s">
        <v>661</v>
      </c>
      <c r="P47" s="30"/>
    </row>
    <row r="48" spans="1:16" s="31" customFormat="1" ht="14.1">
      <c r="A48" s="49">
        <v>1</v>
      </c>
      <c r="B48" s="69" t="s">
        <v>158</v>
      </c>
      <c r="C48" s="31">
        <v>2312</v>
      </c>
      <c r="D48" s="31">
        <v>81.8</v>
      </c>
      <c r="E48" s="31">
        <v>54.3</v>
      </c>
      <c r="F48" s="739">
        <f t="shared" si="4"/>
        <v>4441.74</v>
      </c>
      <c r="G48" s="773">
        <v>100</v>
      </c>
      <c r="H48" s="762">
        <f>D48</f>
        <v>81.8</v>
      </c>
      <c r="I48" s="716">
        <f t="shared" si="5"/>
        <v>8180</v>
      </c>
      <c r="J48" s="1024">
        <f t="shared" si="6"/>
        <v>0.84162062615101307</v>
      </c>
      <c r="K48" s="1040">
        <f t="shared" si="7"/>
        <v>4257.8268876611419</v>
      </c>
      <c r="L48" s="29" t="s">
        <v>14</v>
      </c>
      <c r="M48" s="555"/>
      <c r="N48" s="30"/>
      <c r="O48" s="414"/>
      <c r="P48" s="30"/>
    </row>
    <row r="49" spans="1:16" s="31" customFormat="1" ht="14.1">
      <c r="A49" s="49">
        <v>2</v>
      </c>
      <c r="B49" s="69" t="s">
        <v>158</v>
      </c>
      <c r="C49" s="31">
        <v>2312</v>
      </c>
      <c r="D49" s="31">
        <v>81.8</v>
      </c>
      <c r="E49" s="31">
        <v>54.3</v>
      </c>
      <c r="F49" s="739">
        <f t="shared" si="4"/>
        <v>4441.74</v>
      </c>
      <c r="G49" s="773">
        <v>100</v>
      </c>
      <c r="H49" s="762">
        <v>85.5</v>
      </c>
      <c r="I49" s="716">
        <f t="shared" si="5"/>
        <v>8550</v>
      </c>
      <c r="J49" s="1024">
        <f t="shared" si="6"/>
        <v>0.92492131461994642</v>
      </c>
      <c r="K49" s="1040">
        <f t="shared" si="7"/>
        <v>4450.4180794013164</v>
      </c>
      <c r="L49" s="29" t="s">
        <v>14</v>
      </c>
      <c r="M49" s="555"/>
      <c r="N49" s="30"/>
      <c r="O49" s="414"/>
      <c r="P49" s="30"/>
    </row>
    <row r="50" spans="1:16" s="31" customFormat="1" ht="27.95">
      <c r="A50" s="49">
        <v>1</v>
      </c>
      <c r="B50" s="69" t="s">
        <v>159</v>
      </c>
      <c r="C50" s="31">
        <v>935</v>
      </c>
      <c r="D50" s="31">
        <v>32.700000000000003</v>
      </c>
      <c r="E50" s="31">
        <v>38.200000000000003</v>
      </c>
      <c r="F50" s="739">
        <f t="shared" si="4"/>
        <v>1249.1400000000001</v>
      </c>
      <c r="G50" s="773">
        <v>45</v>
      </c>
      <c r="H50" s="762">
        <f>D50</f>
        <v>32.700000000000003</v>
      </c>
      <c r="I50" s="716">
        <f t="shared" si="5"/>
        <v>1471.5000000000002</v>
      </c>
      <c r="J50" s="1024">
        <f t="shared" si="6"/>
        <v>0.17801047120418856</v>
      </c>
      <c r="K50" s="1040">
        <f t="shared" si="7"/>
        <v>1101.4397905759163</v>
      </c>
      <c r="L50" s="29" t="s">
        <v>14</v>
      </c>
      <c r="M50" s="555"/>
      <c r="N50" s="29" t="s">
        <v>35</v>
      </c>
      <c r="O50" s="414"/>
      <c r="P50" s="30"/>
    </row>
    <row r="51" spans="1:16" s="31" customFormat="1" ht="27.95">
      <c r="A51" s="49">
        <v>2</v>
      </c>
      <c r="B51" s="69" t="s">
        <v>159</v>
      </c>
      <c r="C51" s="31">
        <v>935</v>
      </c>
      <c r="D51" s="31">
        <v>32.700000000000003</v>
      </c>
      <c r="E51" s="31">
        <v>38.200000000000003</v>
      </c>
      <c r="F51" s="739">
        <f t="shared" si="4"/>
        <v>1249.1400000000001</v>
      </c>
      <c r="G51" s="773">
        <v>45</v>
      </c>
      <c r="H51" s="762">
        <v>43.3</v>
      </c>
      <c r="I51" s="716">
        <f t="shared" si="5"/>
        <v>1948.4999999999998</v>
      </c>
      <c r="J51" s="1024">
        <f t="shared" si="6"/>
        <v>0.55987319275661629</v>
      </c>
      <c r="K51" s="1040">
        <f t="shared" si="7"/>
        <v>1458.4814352274361</v>
      </c>
      <c r="L51" s="29" t="s">
        <v>14</v>
      </c>
      <c r="M51" s="555"/>
      <c r="N51" s="30"/>
      <c r="O51" s="414"/>
      <c r="P51" s="30"/>
    </row>
    <row r="52" spans="1:16" s="616" customFormat="1" ht="42">
      <c r="A52" s="616">
        <v>1</v>
      </c>
      <c r="B52" s="617" t="s">
        <v>160</v>
      </c>
      <c r="C52" s="616">
        <v>90</v>
      </c>
      <c r="D52" s="616">
        <v>28.3</v>
      </c>
      <c r="E52" s="616">
        <v>96.3</v>
      </c>
      <c r="F52" s="755">
        <f t="shared" si="4"/>
        <v>2725.29</v>
      </c>
      <c r="G52" s="775">
        <v>110</v>
      </c>
      <c r="H52" s="764">
        <v>26</v>
      </c>
      <c r="I52" s="731">
        <f t="shared" si="5"/>
        <v>2860</v>
      </c>
      <c r="J52" s="1033">
        <f t="shared" si="6"/>
        <v>4.94296019873115E-2</v>
      </c>
      <c r="K52" s="1049">
        <f t="shared" si="7"/>
        <v>94.448664178858039</v>
      </c>
      <c r="L52" s="617" t="s">
        <v>14</v>
      </c>
      <c r="M52" s="615"/>
      <c r="N52" s="617" t="s">
        <v>161</v>
      </c>
      <c r="O52" s="618" t="s">
        <v>277</v>
      </c>
      <c r="P52" s="619"/>
    </row>
    <row r="53" spans="1:16" s="616" customFormat="1" ht="84.75" customHeight="1">
      <c r="A53" s="616">
        <v>2</v>
      </c>
      <c r="B53" s="617" t="s">
        <v>160</v>
      </c>
      <c r="C53" s="616">
        <v>90</v>
      </c>
      <c r="D53" s="616">
        <v>28.3</v>
      </c>
      <c r="E53" s="616">
        <v>96.3</v>
      </c>
      <c r="F53" s="755">
        <f t="shared" si="4"/>
        <v>2725.29</v>
      </c>
      <c r="G53" s="775">
        <v>110</v>
      </c>
      <c r="H53" s="764">
        <v>34</v>
      </c>
      <c r="I53" s="731">
        <f t="shared" si="5"/>
        <v>3740</v>
      </c>
      <c r="J53" s="1033">
        <f t="shared" si="6"/>
        <v>0.3723310179834074</v>
      </c>
      <c r="K53" s="1049">
        <f t="shared" si="7"/>
        <v>123.50979161850667</v>
      </c>
      <c r="L53" s="617" t="s">
        <v>14</v>
      </c>
      <c r="M53" s="615"/>
      <c r="N53" s="619"/>
      <c r="O53" s="618" t="s">
        <v>662</v>
      </c>
      <c r="P53" s="619"/>
    </row>
    <row r="54" spans="1:16" s="688" customFormat="1" ht="56.1">
      <c r="B54" s="689" t="s">
        <v>663</v>
      </c>
      <c r="C54" s="688">
        <v>5521</v>
      </c>
      <c r="D54" s="688">
        <v>30.6</v>
      </c>
      <c r="E54" s="688">
        <v>55.5</v>
      </c>
      <c r="F54" s="756">
        <f t="shared" si="4"/>
        <v>1698.3000000000002</v>
      </c>
      <c r="G54" s="775">
        <v>60</v>
      </c>
      <c r="H54" s="764">
        <v>35</v>
      </c>
      <c r="I54" s="732">
        <f t="shared" si="5"/>
        <v>2100</v>
      </c>
      <c r="J54" s="1034">
        <f t="shared" si="6"/>
        <v>0.23653064829535397</v>
      </c>
      <c r="K54" s="1050">
        <f t="shared" si="7"/>
        <v>6826.8857092386497</v>
      </c>
      <c r="L54" s="689"/>
      <c r="M54" s="690"/>
      <c r="N54" s="691"/>
      <c r="O54" s="692" t="s">
        <v>664</v>
      </c>
      <c r="P54" s="691"/>
    </row>
    <row r="55" spans="1:16" s="688" customFormat="1" ht="14.1">
      <c r="B55" s="689" t="s">
        <v>663</v>
      </c>
      <c r="C55" s="688">
        <v>5521</v>
      </c>
      <c r="D55" s="688">
        <v>30.6</v>
      </c>
      <c r="E55" s="688">
        <v>55.5</v>
      </c>
      <c r="F55" s="756">
        <f t="shared" si="4"/>
        <v>1698.3000000000002</v>
      </c>
      <c r="G55" s="775">
        <v>60</v>
      </c>
      <c r="H55" s="764">
        <v>38</v>
      </c>
      <c r="I55" s="732">
        <f t="shared" si="5"/>
        <v>2280</v>
      </c>
      <c r="J55" s="1034">
        <f t="shared" si="6"/>
        <v>0.3425189895778129</v>
      </c>
      <c r="K55" s="1050">
        <f t="shared" si="7"/>
        <v>7412.0473414591052</v>
      </c>
      <c r="L55" s="689"/>
      <c r="M55" s="690"/>
      <c r="N55" s="691"/>
      <c r="O55" s="692"/>
      <c r="P55" s="691"/>
    </row>
    <row r="56" spans="1:16" s="460" customFormat="1" ht="14.1">
      <c r="A56" s="460">
        <v>1</v>
      </c>
      <c r="B56" s="34" t="s">
        <v>162</v>
      </c>
      <c r="C56" s="460">
        <v>771</v>
      </c>
      <c r="D56" s="460">
        <v>26.4</v>
      </c>
      <c r="E56" s="460">
        <v>103</v>
      </c>
      <c r="F56" s="757">
        <f t="shared" si="4"/>
        <v>2719.2</v>
      </c>
      <c r="G56" s="775">
        <v>96</v>
      </c>
      <c r="H56" s="764">
        <f>D56</f>
        <v>26.4</v>
      </c>
      <c r="I56" s="733">
        <f t="shared" si="5"/>
        <v>2534.3999999999996</v>
      </c>
      <c r="J56" s="1035">
        <f t="shared" si="6"/>
        <v>-6.796116504854377E-2</v>
      </c>
      <c r="K56" s="1051">
        <f t="shared" si="7"/>
        <v>718.60194174757271</v>
      </c>
      <c r="L56" s="34" t="s">
        <v>14</v>
      </c>
      <c r="M56" s="556"/>
      <c r="N56" s="35"/>
      <c r="O56" s="462" t="s">
        <v>665</v>
      </c>
      <c r="P56" s="35"/>
    </row>
    <row r="57" spans="1:16" s="460" customFormat="1" ht="163.35" customHeight="1">
      <c r="A57" s="460">
        <v>2</v>
      </c>
      <c r="B57" s="34" t="s">
        <v>162</v>
      </c>
      <c r="C57" s="460">
        <v>771</v>
      </c>
      <c r="D57" s="460">
        <v>26.4</v>
      </c>
      <c r="E57" s="460">
        <v>103</v>
      </c>
      <c r="F57" s="757">
        <f t="shared" si="4"/>
        <v>2719.2</v>
      </c>
      <c r="G57" s="775">
        <v>96</v>
      </c>
      <c r="H57" s="764">
        <v>32.200000000000003</v>
      </c>
      <c r="I57" s="733">
        <f t="shared" si="5"/>
        <v>3091.2000000000003</v>
      </c>
      <c r="J57" s="1035">
        <f t="shared" si="6"/>
        <v>0.13680494263018561</v>
      </c>
      <c r="K57" s="1051">
        <f t="shared" si="7"/>
        <v>876.47661076787313</v>
      </c>
      <c r="L57" s="35"/>
      <c r="M57" s="556"/>
      <c r="N57" s="35"/>
      <c r="O57" s="462" t="s">
        <v>666</v>
      </c>
      <c r="P57" s="35"/>
    </row>
    <row r="58" spans="1:16" s="51" customFormat="1" ht="111.95">
      <c r="A58" s="51">
        <v>1</v>
      </c>
      <c r="B58" s="74" t="s">
        <v>279</v>
      </c>
      <c r="C58" s="51">
        <v>1363</v>
      </c>
      <c r="D58" s="51">
        <v>45.19</v>
      </c>
      <c r="E58" s="51">
        <v>94</v>
      </c>
      <c r="F58" s="745">
        <f t="shared" si="4"/>
        <v>4247.8599999999997</v>
      </c>
      <c r="G58" s="775">
        <f>60+53.52+8.42+4.6</f>
        <v>126.54</v>
      </c>
      <c r="H58" s="764">
        <v>45</v>
      </c>
      <c r="I58" s="722">
        <f t="shared" si="5"/>
        <v>5694.3</v>
      </c>
      <c r="J58" s="1023">
        <f t="shared" si="6"/>
        <v>0.34051028047063703</v>
      </c>
      <c r="K58" s="1039">
        <f t="shared" si="7"/>
        <v>1827.1155122814782</v>
      </c>
      <c r="L58" s="74" t="s">
        <v>14</v>
      </c>
      <c r="M58" s="594"/>
      <c r="N58" s="75"/>
      <c r="O58" s="419" t="s">
        <v>338</v>
      </c>
      <c r="P58" s="75"/>
    </row>
    <row r="59" spans="1:16" s="51" customFormat="1" ht="126">
      <c r="A59" s="51">
        <v>2</v>
      </c>
      <c r="B59" s="74" t="s">
        <v>163</v>
      </c>
      <c r="C59" s="51">
        <v>1363</v>
      </c>
      <c r="D59" s="51">
        <v>45.19</v>
      </c>
      <c r="E59" s="51">
        <v>94</v>
      </c>
      <c r="F59" s="745">
        <f t="shared" si="4"/>
        <v>4247.8599999999997</v>
      </c>
      <c r="G59" s="775">
        <v>130</v>
      </c>
      <c r="H59" s="764">
        <v>40</v>
      </c>
      <c r="I59" s="722">
        <f t="shared" si="5"/>
        <v>5200</v>
      </c>
      <c r="J59" s="1023">
        <f t="shared" si="6"/>
        <v>0.22414580518190341</v>
      </c>
      <c r="K59" s="1039">
        <f t="shared" si="7"/>
        <v>1668.5107324629344</v>
      </c>
      <c r="L59" s="74" t="s">
        <v>14</v>
      </c>
      <c r="M59" s="594"/>
      <c r="N59" s="75"/>
      <c r="O59" s="419" t="s">
        <v>281</v>
      </c>
      <c r="P59" s="75"/>
    </row>
    <row r="60" spans="1:16" s="31" customFormat="1" ht="14.1">
      <c r="A60" s="337">
        <v>1</v>
      </c>
      <c r="B60" s="338" t="s">
        <v>164</v>
      </c>
      <c r="C60" s="337">
        <v>740</v>
      </c>
      <c r="D60" s="337">
        <v>49.5</v>
      </c>
      <c r="E60" s="337">
        <v>274</v>
      </c>
      <c r="F60" s="741">
        <f t="shared" si="4"/>
        <v>13563</v>
      </c>
      <c r="G60" s="774">
        <v>287</v>
      </c>
      <c r="H60" s="763">
        <f>D60</f>
        <v>49.5</v>
      </c>
      <c r="I60" s="718">
        <f t="shared" si="5"/>
        <v>14206.5</v>
      </c>
      <c r="J60" s="1035">
        <f t="shared" si="6"/>
        <v>4.7445255474452663E-2</v>
      </c>
      <c r="K60" s="1051">
        <f t="shared" si="7"/>
        <v>775.10948905109501</v>
      </c>
      <c r="L60" s="338" t="s">
        <v>14</v>
      </c>
      <c r="M60" s="590">
        <v>0</v>
      </c>
      <c r="N60" s="338" t="s">
        <v>155</v>
      </c>
      <c r="O60" s="414" t="s">
        <v>165</v>
      </c>
      <c r="P60" s="30"/>
    </row>
    <row r="61" spans="1:16" s="31" customFormat="1" ht="84">
      <c r="A61" s="337">
        <v>2</v>
      </c>
      <c r="B61" s="338" t="s">
        <v>164</v>
      </c>
      <c r="C61" s="337">
        <v>740</v>
      </c>
      <c r="D61" s="337">
        <v>49.5</v>
      </c>
      <c r="E61" s="337">
        <v>274</v>
      </c>
      <c r="F61" s="741">
        <f t="shared" si="4"/>
        <v>13563</v>
      </c>
      <c r="G61" s="774">
        <v>287</v>
      </c>
      <c r="H61" s="763">
        <v>46.2</v>
      </c>
      <c r="I61" s="718">
        <f t="shared" si="5"/>
        <v>13259.400000000001</v>
      </c>
      <c r="J61" s="1035">
        <f t="shared" si="6"/>
        <v>-2.2384428223844122E-2</v>
      </c>
      <c r="K61" s="1051">
        <f t="shared" si="7"/>
        <v>723.43552311435531</v>
      </c>
      <c r="L61" s="338" t="s">
        <v>14</v>
      </c>
      <c r="M61" s="590"/>
      <c r="N61" s="341"/>
      <c r="O61" s="414" t="s">
        <v>166</v>
      </c>
      <c r="P61" s="30"/>
    </row>
    <row r="62" spans="1:16" s="31" customFormat="1" ht="27.95">
      <c r="A62" s="49">
        <v>1</v>
      </c>
      <c r="B62" s="69" t="s">
        <v>167</v>
      </c>
      <c r="C62" s="31">
        <v>807</v>
      </c>
      <c r="D62" s="31">
        <v>154</v>
      </c>
      <c r="E62" s="31">
        <v>12.9</v>
      </c>
      <c r="F62" s="739">
        <f t="shared" si="4"/>
        <v>1986.6000000000001</v>
      </c>
      <c r="G62" s="773">
        <v>20</v>
      </c>
      <c r="H62" s="762">
        <f>D62</f>
        <v>154</v>
      </c>
      <c r="I62" s="716">
        <f t="shared" si="5"/>
        <v>3080</v>
      </c>
      <c r="J62" s="1024">
        <f t="shared" si="6"/>
        <v>0.55038759689922467</v>
      </c>
      <c r="K62" s="1040">
        <f t="shared" si="7"/>
        <v>1251.1627906976744</v>
      </c>
      <c r="L62" s="29" t="s">
        <v>101</v>
      </c>
      <c r="M62" s="555">
        <v>1</v>
      </c>
      <c r="N62" s="29" t="s">
        <v>74</v>
      </c>
      <c r="O62" s="414"/>
      <c r="P62" s="30"/>
    </row>
    <row r="63" spans="1:16" s="31" customFormat="1" ht="14.1">
      <c r="A63" s="49"/>
      <c r="B63" s="69"/>
      <c r="F63" s="739"/>
      <c r="G63" s="773"/>
      <c r="H63" s="762"/>
      <c r="I63" s="716"/>
      <c r="J63" s="1024">
        <v>0</v>
      </c>
      <c r="K63" s="1040"/>
      <c r="L63" s="30"/>
      <c r="M63" s="555"/>
      <c r="N63" s="30"/>
      <c r="O63" s="414"/>
      <c r="P63" s="30"/>
    </row>
    <row r="64" spans="1:16" s="31" customFormat="1" ht="56.1">
      <c r="A64" s="51">
        <v>1</v>
      </c>
      <c r="B64" s="74" t="s">
        <v>168</v>
      </c>
      <c r="C64" s="51">
        <v>1370</v>
      </c>
      <c r="D64" s="51">
        <v>30.7</v>
      </c>
      <c r="E64" s="51">
        <v>53.6</v>
      </c>
      <c r="F64" s="745">
        <f t="shared" ref="F64:F95" si="8">D64*E64</f>
        <v>1645.52</v>
      </c>
      <c r="G64" s="775">
        <v>60</v>
      </c>
      <c r="H64" s="764">
        <f>D64</f>
        <v>30.7</v>
      </c>
      <c r="I64" s="722">
        <f t="shared" ref="I64:I95" si="9">G64*H64</f>
        <v>1842</v>
      </c>
      <c r="J64" s="1023">
        <f>I64/F64-1</f>
        <v>0.11940298507462699</v>
      </c>
      <c r="K64" s="1039">
        <f>C64*(1+J64)</f>
        <v>1533.582089552239</v>
      </c>
      <c r="L64" s="74" t="s">
        <v>157</v>
      </c>
      <c r="M64" s="594">
        <v>0.27</v>
      </c>
      <c r="N64" s="74" t="s">
        <v>169</v>
      </c>
      <c r="O64" s="414"/>
      <c r="P64" s="30"/>
    </row>
    <row r="65" spans="1:16" s="31" customFormat="1" ht="14.1">
      <c r="A65" s="51">
        <v>2</v>
      </c>
      <c r="B65" s="74" t="s">
        <v>168</v>
      </c>
      <c r="C65" s="51"/>
      <c r="D65" s="51"/>
      <c r="E65" s="51"/>
      <c r="F65" s="745">
        <f t="shared" si="8"/>
        <v>0</v>
      </c>
      <c r="G65" s="775"/>
      <c r="H65" s="764"/>
      <c r="I65" s="722">
        <f t="shared" si="9"/>
        <v>0</v>
      </c>
      <c r="J65" s="1023">
        <v>0</v>
      </c>
      <c r="K65" s="1039"/>
      <c r="L65" s="75"/>
      <c r="M65" s="594">
        <v>0.11</v>
      </c>
      <c r="N65" s="75"/>
      <c r="O65" s="414"/>
      <c r="P65" s="30"/>
    </row>
    <row r="66" spans="1:16" s="456" customFormat="1" ht="71.849999999999994" customHeight="1">
      <c r="A66" s="460">
        <v>1</v>
      </c>
      <c r="B66" s="34" t="s">
        <v>295</v>
      </c>
      <c r="C66" s="460">
        <v>1577</v>
      </c>
      <c r="D66" s="460">
        <v>27.4</v>
      </c>
      <c r="E66" s="460">
        <v>361</v>
      </c>
      <c r="F66" s="757">
        <f t="shared" ref="F66" si="10">D66*E66</f>
        <v>9891.4</v>
      </c>
      <c r="G66" s="775">
        <v>400</v>
      </c>
      <c r="H66" s="764">
        <f>D66</f>
        <v>27.4</v>
      </c>
      <c r="I66" s="733">
        <f t="shared" ref="I66" si="11">G66*H66</f>
        <v>10960</v>
      </c>
      <c r="J66" s="1035">
        <f>I66/F66-1</f>
        <v>0.10803324099723</v>
      </c>
      <c r="K66" s="1051">
        <f>C66*(1+J66)</f>
        <v>1747.3684210526317</v>
      </c>
      <c r="L66" s="35"/>
      <c r="M66" s="556"/>
      <c r="N66" s="35"/>
      <c r="O66" s="462" t="s">
        <v>341</v>
      </c>
      <c r="P66" s="545"/>
    </row>
    <row r="67" spans="1:16" s="456" customFormat="1" ht="99.75" customHeight="1">
      <c r="A67" s="460">
        <v>2</v>
      </c>
      <c r="B67" s="34" t="s">
        <v>295</v>
      </c>
      <c r="C67" s="460">
        <v>1577</v>
      </c>
      <c r="D67" s="460">
        <v>27.4</v>
      </c>
      <c r="E67" s="460">
        <v>65</v>
      </c>
      <c r="F67" s="757">
        <f t="shared" ref="F67" si="12">D67*E67</f>
        <v>1781</v>
      </c>
      <c r="G67" s="775">
        <v>400</v>
      </c>
      <c r="H67" s="764">
        <v>30</v>
      </c>
      <c r="I67" s="733">
        <f t="shared" ref="I67" si="13">G67*H67</f>
        <v>12000</v>
      </c>
      <c r="J67" s="1035">
        <f>I67/F67-1</f>
        <v>5.7377877596855695</v>
      </c>
      <c r="K67" s="1051">
        <f>C67*(1+J67)</f>
        <v>10625.491297024144</v>
      </c>
      <c r="L67" s="35"/>
      <c r="M67" s="556"/>
      <c r="N67" s="35"/>
      <c r="O67" s="462" t="s">
        <v>297</v>
      </c>
      <c r="P67" s="545"/>
    </row>
    <row r="68" spans="1:16" s="184" customFormat="1" ht="56.1">
      <c r="A68" s="179">
        <v>1</v>
      </c>
      <c r="B68" s="176" t="s">
        <v>667</v>
      </c>
      <c r="C68" s="180">
        <v>4070</v>
      </c>
      <c r="D68" s="180">
        <v>35</v>
      </c>
      <c r="E68" s="180">
        <v>233</v>
      </c>
      <c r="F68" s="759">
        <f t="shared" si="8"/>
        <v>8155</v>
      </c>
      <c r="G68" s="773">
        <v>283</v>
      </c>
      <c r="H68" s="762">
        <v>35</v>
      </c>
      <c r="I68" s="735">
        <f t="shared" si="9"/>
        <v>9905</v>
      </c>
      <c r="J68" s="1026">
        <f t="shared" ref="J68:J95" si="14">I68/F68-1</f>
        <v>0.21459227467811148</v>
      </c>
      <c r="K68" s="1042">
        <f t="shared" ref="K68:K95" si="15">C68*(1+J68)</f>
        <v>4943.3905579399134</v>
      </c>
      <c r="L68" s="183"/>
      <c r="M68" s="603">
        <v>1.1100000000000001</v>
      </c>
      <c r="O68" s="371" t="s">
        <v>668</v>
      </c>
    </row>
    <row r="69" spans="1:16" s="184" customFormat="1" ht="56.1" customHeight="1">
      <c r="A69" s="179">
        <v>2</v>
      </c>
      <c r="B69" s="176" t="s">
        <v>667</v>
      </c>
      <c r="C69" s="180">
        <v>4070</v>
      </c>
      <c r="D69" s="180">
        <v>35</v>
      </c>
      <c r="E69" s="180">
        <v>233</v>
      </c>
      <c r="F69" s="759">
        <f t="shared" si="8"/>
        <v>8155</v>
      </c>
      <c r="G69" s="773">
        <v>283</v>
      </c>
      <c r="H69" s="762">
        <v>40</v>
      </c>
      <c r="I69" s="735">
        <f t="shared" si="9"/>
        <v>11320</v>
      </c>
      <c r="J69" s="1026">
        <f t="shared" si="14"/>
        <v>0.38810545677498465</v>
      </c>
      <c r="K69" s="1042">
        <f t="shared" si="15"/>
        <v>5649.5892090741872</v>
      </c>
      <c r="L69" s="183"/>
      <c r="M69" s="603">
        <v>0.57999999999999996</v>
      </c>
      <c r="O69" s="371" t="s">
        <v>669</v>
      </c>
    </row>
    <row r="70" spans="1:16" s="184" customFormat="1" ht="249" customHeight="1">
      <c r="A70" s="179">
        <v>1</v>
      </c>
      <c r="B70" s="176" t="s">
        <v>670</v>
      </c>
      <c r="C70" s="180">
        <v>6281</v>
      </c>
      <c r="D70" s="180">
        <v>48.2</v>
      </c>
      <c r="E70" s="180">
        <v>99.5</v>
      </c>
      <c r="F70" s="759">
        <f t="shared" si="8"/>
        <v>4795.9000000000005</v>
      </c>
      <c r="G70" s="773">
        <v>116</v>
      </c>
      <c r="H70" s="762">
        <v>45</v>
      </c>
      <c r="I70" s="735">
        <f t="shared" si="9"/>
        <v>5220</v>
      </c>
      <c r="J70" s="1026">
        <f t="shared" si="14"/>
        <v>8.8429700369065056E-2</v>
      </c>
      <c r="K70" s="1042">
        <f t="shared" si="15"/>
        <v>6836.4269480180974</v>
      </c>
      <c r="L70" s="183"/>
      <c r="M70" s="603"/>
      <c r="O70" s="371" t="s">
        <v>671</v>
      </c>
    </row>
    <row r="71" spans="1:16" s="184" customFormat="1" ht="266.85000000000002" customHeight="1">
      <c r="A71" s="179">
        <v>2</v>
      </c>
      <c r="B71" s="176" t="s">
        <v>670</v>
      </c>
      <c r="C71" s="180">
        <v>6281</v>
      </c>
      <c r="D71" s="180">
        <v>48.2</v>
      </c>
      <c r="E71" s="180">
        <v>91.9</v>
      </c>
      <c r="F71" s="759">
        <f t="shared" si="8"/>
        <v>4429.5800000000008</v>
      </c>
      <c r="G71" s="773">
        <v>116</v>
      </c>
      <c r="H71" s="762">
        <v>50</v>
      </c>
      <c r="I71" s="735">
        <f t="shared" si="9"/>
        <v>5800</v>
      </c>
      <c r="J71" s="1026">
        <f t="shared" si="14"/>
        <v>0.30937921879726726</v>
      </c>
      <c r="K71" s="1042">
        <f t="shared" si="15"/>
        <v>8224.2108732656361</v>
      </c>
      <c r="L71" s="183"/>
      <c r="M71" s="603"/>
      <c r="O71" s="371" t="s">
        <v>672</v>
      </c>
    </row>
    <row r="72" spans="1:16" s="456" customFormat="1" ht="167.1" customHeight="1">
      <c r="A72" s="460">
        <v>1</v>
      </c>
      <c r="B72" s="34" t="s">
        <v>673</v>
      </c>
      <c r="C72" s="460">
        <v>604</v>
      </c>
      <c r="D72" s="460">
        <v>43</v>
      </c>
      <c r="E72" s="460">
        <v>80.8</v>
      </c>
      <c r="F72" s="757">
        <f t="shared" si="8"/>
        <v>3474.4</v>
      </c>
      <c r="G72" s="775">
        <v>87</v>
      </c>
      <c r="H72" s="764">
        <f>D72</f>
        <v>43</v>
      </c>
      <c r="I72" s="733">
        <f t="shared" si="9"/>
        <v>3741</v>
      </c>
      <c r="J72" s="1035">
        <f t="shared" si="14"/>
        <v>7.6732673267326801E-2</v>
      </c>
      <c r="K72" s="1051">
        <f t="shared" si="15"/>
        <v>650.34653465346537</v>
      </c>
      <c r="L72" s="34" t="s">
        <v>14</v>
      </c>
      <c r="M72" s="556">
        <v>0.63</v>
      </c>
      <c r="N72" s="34" t="s">
        <v>199</v>
      </c>
      <c r="O72" s="580" t="s">
        <v>674</v>
      </c>
      <c r="P72" s="545"/>
    </row>
    <row r="73" spans="1:16" s="456" customFormat="1" ht="155.1" customHeight="1">
      <c r="A73" s="460">
        <v>2</v>
      </c>
      <c r="B73" s="34" t="s">
        <v>198</v>
      </c>
      <c r="C73" s="460">
        <v>604</v>
      </c>
      <c r="D73" s="460">
        <v>43</v>
      </c>
      <c r="E73" s="460">
        <v>80.8</v>
      </c>
      <c r="F73" s="757">
        <f t="shared" si="8"/>
        <v>3474.4</v>
      </c>
      <c r="G73" s="775">
        <v>87</v>
      </c>
      <c r="H73" s="764">
        <v>35</v>
      </c>
      <c r="I73" s="733">
        <f t="shared" si="9"/>
        <v>3045</v>
      </c>
      <c r="J73" s="1035">
        <f t="shared" si="14"/>
        <v>-0.12358968454985031</v>
      </c>
      <c r="K73" s="1051">
        <f t="shared" si="15"/>
        <v>529.35183053189041</v>
      </c>
      <c r="L73" s="35"/>
      <c r="M73" s="556"/>
      <c r="N73" s="35"/>
      <c r="O73" s="580" t="s">
        <v>675</v>
      </c>
      <c r="P73" s="545"/>
    </row>
    <row r="74" spans="1:16" s="31" customFormat="1" ht="27.95">
      <c r="A74" s="233">
        <v>1</v>
      </c>
      <c r="B74" s="234" t="s">
        <v>202</v>
      </c>
      <c r="C74" s="233">
        <v>1892</v>
      </c>
      <c r="D74" s="233">
        <v>19</v>
      </c>
      <c r="E74" s="233">
        <v>439</v>
      </c>
      <c r="F74" s="760">
        <f t="shared" si="8"/>
        <v>8341</v>
      </c>
      <c r="G74" s="775">
        <v>500</v>
      </c>
      <c r="H74" s="764">
        <f>D74</f>
        <v>19</v>
      </c>
      <c r="I74" s="736">
        <f t="shared" si="9"/>
        <v>9500</v>
      </c>
      <c r="J74" s="1025">
        <f t="shared" si="14"/>
        <v>0.13895216400911159</v>
      </c>
      <c r="K74" s="1041">
        <f t="shared" si="15"/>
        <v>2154.897494305239</v>
      </c>
      <c r="L74" s="234" t="s">
        <v>14</v>
      </c>
      <c r="M74" s="604"/>
      <c r="N74" s="449"/>
      <c r="O74" s="414"/>
      <c r="P74" s="30"/>
    </row>
    <row r="75" spans="1:16" s="31" customFormat="1" ht="27.95">
      <c r="A75" s="233">
        <v>2</v>
      </c>
      <c r="B75" s="234" t="s">
        <v>202</v>
      </c>
      <c r="C75" s="233">
        <v>1892</v>
      </c>
      <c r="D75" s="233">
        <v>19</v>
      </c>
      <c r="E75" s="233">
        <v>439</v>
      </c>
      <c r="F75" s="760">
        <f t="shared" si="8"/>
        <v>8341</v>
      </c>
      <c r="G75" s="775">
        <v>500</v>
      </c>
      <c r="H75" s="764">
        <v>36.6</v>
      </c>
      <c r="I75" s="736">
        <f t="shared" si="9"/>
        <v>18300</v>
      </c>
      <c r="J75" s="1025">
        <f t="shared" si="14"/>
        <v>1.193981536985973</v>
      </c>
      <c r="K75" s="1041">
        <f t="shared" si="15"/>
        <v>4151.0130679774611</v>
      </c>
      <c r="L75" s="234" t="s">
        <v>14</v>
      </c>
      <c r="M75" s="604"/>
      <c r="N75" s="449"/>
      <c r="O75" s="414"/>
      <c r="P75" s="30"/>
    </row>
    <row r="76" spans="1:16" s="456" customFormat="1" ht="84">
      <c r="A76" s="460">
        <v>1</v>
      </c>
      <c r="B76" s="34" t="s">
        <v>676</v>
      </c>
      <c r="C76" s="460">
        <v>110</v>
      </c>
      <c r="D76" s="460">
        <v>22.9</v>
      </c>
      <c r="E76" s="460">
        <v>93.4</v>
      </c>
      <c r="F76" s="757">
        <f t="shared" si="8"/>
        <v>2138.86</v>
      </c>
      <c r="G76" s="775">
        <v>135</v>
      </c>
      <c r="H76" s="764">
        <f>D76</f>
        <v>22.9</v>
      </c>
      <c r="I76" s="733">
        <f t="shared" si="9"/>
        <v>3091.5</v>
      </c>
      <c r="J76" s="1035">
        <f t="shared" si="14"/>
        <v>0.44539614561027818</v>
      </c>
      <c r="K76" s="1051">
        <f t="shared" si="15"/>
        <v>158.99357601713061</v>
      </c>
      <c r="L76" s="34"/>
      <c r="M76" s="556">
        <v>1.47</v>
      </c>
      <c r="N76" s="35" t="s">
        <v>677</v>
      </c>
      <c r="O76" s="580" t="s">
        <v>678</v>
      </c>
      <c r="P76" s="545"/>
    </row>
    <row r="77" spans="1:16" s="456" customFormat="1" ht="101.85" customHeight="1">
      <c r="A77" s="460">
        <v>2</v>
      </c>
      <c r="B77" s="34" t="s">
        <v>676</v>
      </c>
      <c r="C77" s="460">
        <v>110</v>
      </c>
      <c r="D77" s="460">
        <v>22.9</v>
      </c>
      <c r="E77" s="460">
        <v>93.4</v>
      </c>
      <c r="F77" s="757">
        <f t="shared" si="8"/>
        <v>2138.86</v>
      </c>
      <c r="G77" s="775">
        <v>120</v>
      </c>
      <c r="H77" s="764">
        <v>27</v>
      </c>
      <c r="I77" s="733">
        <f t="shared" si="9"/>
        <v>3240</v>
      </c>
      <c r="J77" s="1035">
        <f t="shared" si="14"/>
        <v>0.51482565478806452</v>
      </c>
      <c r="K77" s="1051">
        <f t="shared" si="15"/>
        <v>166.6308220266871</v>
      </c>
      <c r="L77" s="34"/>
      <c r="M77" s="556">
        <v>1</v>
      </c>
      <c r="N77" s="35"/>
      <c r="O77" s="580" t="s">
        <v>679</v>
      </c>
      <c r="P77" s="545"/>
    </row>
    <row r="78" spans="1:16" s="233" customFormat="1" ht="14.1">
      <c r="A78" s="247">
        <v>1</v>
      </c>
      <c r="B78" s="452" t="s">
        <v>204</v>
      </c>
      <c r="C78" s="247">
        <v>1981</v>
      </c>
      <c r="D78" s="247">
        <v>25.9</v>
      </c>
      <c r="E78" s="247">
        <v>129</v>
      </c>
      <c r="F78" s="903">
        <f t="shared" si="8"/>
        <v>3341.1</v>
      </c>
      <c r="G78" s="763">
        <v>140</v>
      </c>
      <c r="H78" s="763">
        <f>D78</f>
        <v>25.9</v>
      </c>
      <c r="I78" s="904">
        <f t="shared" si="9"/>
        <v>3626</v>
      </c>
      <c r="J78" s="1025">
        <f t="shared" si="14"/>
        <v>8.5271317829457294E-2</v>
      </c>
      <c r="K78" s="1041">
        <f t="shared" si="15"/>
        <v>2149.9224806201551</v>
      </c>
      <c r="L78" s="452"/>
      <c r="M78" s="905"/>
      <c r="N78" s="452"/>
      <c r="O78" s="906"/>
      <c r="P78" s="449"/>
    </row>
    <row r="79" spans="1:16" s="233" customFormat="1" ht="14.1">
      <c r="A79" s="247">
        <v>2</v>
      </c>
      <c r="B79" s="452" t="s">
        <v>204</v>
      </c>
      <c r="C79" s="247">
        <v>1981</v>
      </c>
      <c r="D79" s="247">
        <v>30</v>
      </c>
      <c r="E79" s="247">
        <v>129</v>
      </c>
      <c r="F79" s="903">
        <f t="shared" si="8"/>
        <v>3870</v>
      </c>
      <c r="G79" s="763">
        <v>140</v>
      </c>
      <c r="H79" s="763">
        <v>31.4</v>
      </c>
      <c r="I79" s="904">
        <f t="shared" si="9"/>
        <v>4396</v>
      </c>
      <c r="J79" s="1025">
        <f t="shared" si="14"/>
        <v>0.13591731266149876</v>
      </c>
      <c r="K79" s="1041">
        <f t="shared" si="15"/>
        <v>2250.2521963824292</v>
      </c>
      <c r="L79" s="452"/>
      <c r="M79" s="905"/>
      <c r="N79" s="455"/>
      <c r="O79" s="906"/>
      <c r="P79" s="449"/>
    </row>
    <row r="80" spans="1:16" s="456" customFormat="1" ht="42">
      <c r="A80" s="460">
        <v>1</v>
      </c>
      <c r="B80" s="34" t="s">
        <v>309</v>
      </c>
      <c r="C80" s="460">
        <v>1790</v>
      </c>
      <c r="D80" s="460">
        <v>58.6</v>
      </c>
      <c r="E80" s="460">
        <v>341</v>
      </c>
      <c r="F80" s="757">
        <f t="shared" si="8"/>
        <v>19982.600000000002</v>
      </c>
      <c r="G80" s="775">
        <v>400</v>
      </c>
      <c r="H80" s="764">
        <v>50</v>
      </c>
      <c r="I80" s="733">
        <f t="shared" si="9"/>
        <v>20000</v>
      </c>
      <c r="J80" s="1035">
        <f t="shared" si="14"/>
        <v>8.7075755907628505E-4</v>
      </c>
      <c r="K80" s="1051">
        <f t="shared" si="15"/>
        <v>1791.5586560307465</v>
      </c>
      <c r="L80" s="35"/>
      <c r="M80" s="586">
        <f>0.06+0.57</f>
        <v>0.62999999999999989</v>
      </c>
      <c r="N80" s="35"/>
      <c r="O80" s="462" t="s">
        <v>310</v>
      </c>
      <c r="P80" s="545"/>
    </row>
    <row r="81" spans="1:16" s="456" customFormat="1" ht="69.95">
      <c r="A81" s="460">
        <v>2</v>
      </c>
      <c r="B81" s="34" t="s">
        <v>209</v>
      </c>
      <c r="C81" s="460">
        <v>1790</v>
      </c>
      <c r="D81" s="460">
        <v>58.6</v>
      </c>
      <c r="E81" s="460">
        <v>341</v>
      </c>
      <c r="F81" s="757">
        <f t="shared" si="8"/>
        <v>19982.600000000002</v>
      </c>
      <c r="G81" s="775">
        <v>460</v>
      </c>
      <c r="H81" s="764">
        <v>45</v>
      </c>
      <c r="I81" s="733">
        <f t="shared" si="9"/>
        <v>20700</v>
      </c>
      <c r="J81" s="1035">
        <f t="shared" si="14"/>
        <v>3.5901234073643984E-2</v>
      </c>
      <c r="K81" s="1051">
        <f t="shared" si="15"/>
        <v>1854.2632089918227</v>
      </c>
      <c r="L81" s="35"/>
      <c r="M81" s="586">
        <v>2.86</v>
      </c>
      <c r="N81" s="35"/>
      <c r="O81" s="462" t="s">
        <v>211</v>
      </c>
      <c r="P81" s="545"/>
    </row>
    <row r="82" spans="1:16" s="31" customFormat="1" ht="162.75" customHeight="1">
      <c r="A82" s="51">
        <v>1</v>
      </c>
      <c r="B82" s="74" t="s">
        <v>313</v>
      </c>
      <c r="C82" s="52">
        <v>1473</v>
      </c>
      <c r="D82" s="52">
        <v>50.85</v>
      </c>
      <c r="E82" s="52">
        <v>49.8</v>
      </c>
      <c r="F82" s="738">
        <f t="shared" si="8"/>
        <v>2532.33</v>
      </c>
      <c r="G82" s="773">
        <v>60</v>
      </c>
      <c r="H82" s="762">
        <v>60</v>
      </c>
      <c r="I82" s="715">
        <f t="shared" si="9"/>
        <v>3600</v>
      </c>
      <c r="J82" s="1023">
        <f t="shared" si="14"/>
        <v>0.42161566620464153</v>
      </c>
      <c r="K82" s="1039">
        <f t="shared" si="15"/>
        <v>2094.0398763194371</v>
      </c>
      <c r="L82" s="56"/>
      <c r="M82" s="588">
        <v>2.2200000000000002</v>
      </c>
      <c r="N82" s="55" t="s">
        <v>213</v>
      </c>
      <c r="O82" s="430" t="s">
        <v>680</v>
      </c>
      <c r="P82" s="30"/>
    </row>
    <row r="83" spans="1:16" s="31" customFormat="1" ht="201.75" customHeight="1">
      <c r="A83" s="51">
        <v>2</v>
      </c>
      <c r="B83" s="74" t="s">
        <v>212</v>
      </c>
      <c r="C83" s="52">
        <v>1473</v>
      </c>
      <c r="D83" s="52">
        <v>50.85</v>
      </c>
      <c r="E83" s="52">
        <v>49.8</v>
      </c>
      <c r="F83" s="738">
        <f t="shared" si="8"/>
        <v>2532.33</v>
      </c>
      <c r="G83" s="773">
        <v>60</v>
      </c>
      <c r="H83" s="762">
        <v>45</v>
      </c>
      <c r="I83" s="715">
        <f t="shared" si="9"/>
        <v>2700</v>
      </c>
      <c r="J83" s="1023">
        <f t="shared" si="14"/>
        <v>6.6211749653481311E-2</v>
      </c>
      <c r="K83" s="1039">
        <f t="shared" si="15"/>
        <v>1570.5299072395781</v>
      </c>
      <c r="L83" s="558"/>
      <c r="M83" s="588">
        <f>0.49+1.1+0.17+0.14+0.28+0.34</f>
        <v>2.5199999999999996</v>
      </c>
      <c r="N83" s="56"/>
      <c r="O83" s="417" t="s">
        <v>681</v>
      </c>
      <c r="P83" s="30"/>
    </row>
    <row r="84" spans="1:16" s="31" customFormat="1" ht="14.1">
      <c r="A84" s="233">
        <v>1</v>
      </c>
      <c r="B84" s="234" t="s">
        <v>216</v>
      </c>
      <c r="C84" s="235">
        <v>606</v>
      </c>
      <c r="D84" s="235">
        <v>54</v>
      </c>
      <c r="E84" s="235">
        <v>144</v>
      </c>
      <c r="F84" s="740">
        <f t="shared" si="8"/>
        <v>7776</v>
      </c>
      <c r="G84" s="773">
        <v>180</v>
      </c>
      <c r="H84" s="762">
        <f>D84</f>
        <v>54</v>
      </c>
      <c r="I84" s="717">
        <f t="shared" si="9"/>
        <v>9720</v>
      </c>
      <c r="J84" s="1025">
        <f t="shared" si="14"/>
        <v>0.25</v>
      </c>
      <c r="K84" s="1041">
        <f t="shared" si="15"/>
        <v>757.5</v>
      </c>
      <c r="L84" s="238"/>
      <c r="M84" s="589">
        <v>0</v>
      </c>
      <c r="N84" s="239" t="s">
        <v>35</v>
      </c>
      <c r="O84" s="431" t="s">
        <v>217</v>
      </c>
      <c r="P84" s="476">
        <v>0.17</v>
      </c>
    </row>
    <row r="85" spans="1:16" s="31" customFormat="1" ht="14.1">
      <c r="A85" s="233">
        <v>2</v>
      </c>
      <c r="B85" s="234" t="s">
        <v>216</v>
      </c>
      <c r="C85" s="235">
        <v>606</v>
      </c>
      <c r="D85" s="235">
        <v>54</v>
      </c>
      <c r="E85" s="235">
        <v>144</v>
      </c>
      <c r="F85" s="740">
        <f t="shared" si="8"/>
        <v>7776</v>
      </c>
      <c r="G85" s="773">
        <v>180</v>
      </c>
      <c r="H85" s="762">
        <v>45</v>
      </c>
      <c r="I85" s="717">
        <f t="shared" si="9"/>
        <v>8100</v>
      </c>
      <c r="J85" s="1025">
        <f t="shared" si="14"/>
        <v>4.1666666666666741E-2</v>
      </c>
      <c r="K85" s="1041">
        <f t="shared" si="15"/>
        <v>631.25</v>
      </c>
      <c r="L85" s="238"/>
      <c r="M85" s="589"/>
      <c r="N85" s="238"/>
      <c r="O85" s="431"/>
      <c r="P85" s="30"/>
    </row>
    <row r="86" spans="1:16" s="58" customFormat="1" ht="27.95">
      <c r="A86" s="57">
        <v>1</v>
      </c>
      <c r="B86" s="62" t="s">
        <v>218</v>
      </c>
      <c r="C86" s="58">
        <v>388</v>
      </c>
      <c r="D86" s="58">
        <v>27.9</v>
      </c>
      <c r="E86" s="58">
        <v>424</v>
      </c>
      <c r="F86" s="754">
        <f t="shared" si="8"/>
        <v>11829.599999999999</v>
      </c>
      <c r="G86" s="777">
        <v>445</v>
      </c>
      <c r="H86" s="766">
        <f>D86</f>
        <v>27.9</v>
      </c>
      <c r="I86" s="730">
        <f t="shared" si="9"/>
        <v>12415.5</v>
      </c>
      <c r="J86" s="63">
        <f t="shared" si="14"/>
        <v>4.9528301886792692E-2</v>
      </c>
      <c r="K86" s="64">
        <f t="shared" si="15"/>
        <v>407.21698113207555</v>
      </c>
      <c r="L86" s="359" t="s">
        <v>14</v>
      </c>
      <c r="M86" s="601">
        <v>7.0000000000000007E-2</v>
      </c>
      <c r="N86" s="359" t="s">
        <v>15</v>
      </c>
      <c r="O86" s="428"/>
      <c r="P86" s="61"/>
    </row>
    <row r="87" spans="1:16" s="58" customFormat="1" ht="14.1">
      <c r="A87" s="57">
        <v>2</v>
      </c>
      <c r="B87" s="62" t="s">
        <v>218</v>
      </c>
      <c r="C87" s="58">
        <v>388</v>
      </c>
      <c r="D87" s="58">
        <v>27.9</v>
      </c>
      <c r="E87" s="58">
        <v>424</v>
      </c>
      <c r="F87" s="754">
        <f t="shared" si="8"/>
        <v>11829.599999999999</v>
      </c>
      <c r="G87" s="777">
        <v>445</v>
      </c>
      <c r="H87" s="766">
        <v>28.2</v>
      </c>
      <c r="I87" s="730">
        <f t="shared" si="9"/>
        <v>12549</v>
      </c>
      <c r="J87" s="63">
        <f t="shared" si="14"/>
        <v>6.0813552444715091E-2</v>
      </c>
      <c r="K87" s="64">
        <f t="shared" si="15"/>
        <v>411.59565834854948</v>
      </c>
      <c r="L87" s="359" t="s">
        <v>14</v>
      </c>
      <c r="M87" s="601">
        <v>0.23</v>
      </c>
      <c r="N87" s="61"/>
      <c r="O87" s="428"/>
      <c r="P87" s="61"/>
    </row>
    <row r="88" spans="1:16" s="456" customFormat="1" ht="61.35" customHeight="1">
      <c r="A88" s="460">
        <v>1</v>
      </c>
      <c r="B88" s="34" t="s">
        <v>682</v>
      </c>
      <c r="F88" s="1193"/>
      <c r="G88" s="773"/>
      <c r="H88" s="762"/>
      <c r="I88" s="1194"/>
      <c r="J88" s="1035"/>
      <c r="K88" s="1051"/>
      <c r="L88" s="459"/>
      <c r="M88" s="1195"/>
      <c r="N88" s="545"/>
      <c r="O88" s="462"/>
      <c r="P88" s="545"/>
    </row>
    <row r="89" spans="1:16" s="456" customFormat="1" ht="61.35" customHeight="1">
      <c r="A89" s="460">
        <v>2</v>
      </c>
      <c r="B89" s="34" t="s">
        <v>682</v>
      </c>
      <c r="F89" s="1193"/>
      <c r="G89" s="773"/>
      <c r="H89" s="762"/>
      <c r="I89" s="1194"/>
      <c r="J89" s="1035"/>
      <c r="K89" s="1051"/>
      <c r="L89" s="459"/>
      <c r="M89" s="1195"/>
      <c r="N89" s="545"/>
      <c r="O89" s="462"/>
      <c r="P89" s="545"/>
    </row>
    <row r="90" spans="1:16" s="31" customFormat="1" ht="44.1" customHeight="1">
      <c r="A90" s="175">
        <v>1</v>
      </c>
      <c r="B90" s="176" t="s">
        <v>219</v>
      </c>
      <c r="C90" s="180">
        <v>13460</v>
      </c>
      <c r="D90" s="180">
        <v>40.5</v>
      </c>
      <c r="E90" s="180">
        <v>336</v>
      </c>
      <c r="F90" s="759">
        <f t="shared" si="8"/>
        <v>13608</v>
      </c>
      <c r="G90" s="773">
        <v>416</v>
      </c>
      <c r="H90" s="762">
        <v>40</v>
      </c>
      <c r="I90" s="735">
        <f t="shared" si="9"/>
        <v>16640</v>
      </c>
      <c r="J90" s="1026">
        <f t="shared" si="14"/>
        <v>0.22281011169900067</v>
      </c>
      <c r="K90" s="1042">
        <f t="shared" si="15"/>
        <v>16459.02410346855</v>
      </c>
      <c r="L90" s="183" t="s">
        <v>14</v>
      </c>
      <c r="M90" s="605">
        <v>0.27</v>
      </c>
      <c r="N90" s="184" t="s">
        <v>161</v>
      </c>
      <c r="O90" s="423" t="s">
        <v>683</v>
      </c>
      <c r="P90" s="30"/>
    </row>
    <row r="91" spans="1:16" s="31" customFormat="1" ht="42">
      <c r="A91" s="175">
        <v>2</v>
      </c>
      <c r="B91" s="176" t="s">
        <v>219</v>
      </c>
      <c r="C91" s="180">
        <v>13865</v>
      </c>
      <c r="D91" s="180">
        <v>41.8</v>
      </c>
      <c r="E91" s="180">
        <v>336</v>
      </c>
      <c r="F91" s="759">
        <f t="shared" si="8"/>
        <v>14044.8</v>
      </c>
      <c r="G91" s="773">
        <v>416</v>
      </c>
      <c r="H91" s="762">
        <v>45</v>
      </c>
      <c r="I91" s="735">
        <f t="shared" si="9"/>
        <v>18720</v>
      </c>
      <c r="J91" s="1026">
        <f t="shared" si="14"/>
        <v>0.33287764866712233</v>
      </c>
      <c r="K91" s="1042">
        <f t="shared" si="15"/>
        <v>18480.348598769651</v>
      </c>
      <c r="L91" s="183" t="s">
        <v>14</v>
      </c>
      <c r="M91" s="605">
        <v>0.93</v>
      </c>
      <c r="N91" s="183" t="s">
        <v>684</v>
      </c>
      <c r="O91" s="371" t="s">
        <v>221</v>
      </c>
      <c r="P91" s="30"/>
    </row>
    <row r="92" spans="1:16" s="31" customFormat="1" ht="144.75" customHeight="1">
      <c r="A92" s="51">
        <v>1</v>
      </c>
      <c r="B92" s="74" t="s">
        <v>222</v>
      </c>
      <c r="C92" s="51">
        <v>1354</v>
      </c>
      <c r="D92" s="51">
        <v>33.700000000000003</v>
      </c>
      <c r="E92" s="51">
        <v>256</v>
      </c>
      <c r="F92" s="745">
        <f t="shared" si="8"/>
        <v>8627.2000000000007</v>
      </c>
      <c r="G92" s="775">
        <v>295</v>
      </c>
      <c r="H92" s="764">
        <f>D92</f>
        <v>33.700000000000003</v>
      </c>
      <c r="I92" s="722">
        <f t="shared" si="9"/>
        <v>9941.5</v>
      </c>
      <c r="J92" s="1023">
        <f t="shared" si="14"/>
        <v>0.15234375</v>
      </c>
      <c r="K92" s="1039">
        <f t="shared" si="15"/>
        <v>1560.2734375</v>
      </c>
      <c r="L92" s="74" t="s">
        <v>14</v>
      </c>
      <c r="M92" s="594">
        <f>0.75 +0.9</f>
        <v>1.65</v>
      </c>
      <c r="N92" s="75"/>
      <c r="O92" s="432" t="s">
        <v>685</v>
      </c>
      <c r="P92" s="30"/>
    </row>
    <row r="93" spans="1:16" s="31" customFormat="1" ht="41.1" customHeight="1">
      <c r="A93" s="51">
        <v>2</v>
      </c>
      <c r="B93" s="74" t="s">
        <v>222</v>
      </c>
      <c r="C93" s="51">
        <v>1354</v>
      </c>
      <c r="D93" s="51">
        <v>33.700000000000003</v>
      </c>
      <c r="E93" s="51">
        <v>256</v>
      </c>
      <c r="F93" s="745">
        <f t="shared" si="8"/>
        <v>8627.2000000000007</v>
      </c>
      <c r="G93" s="775">
        <v>350</v>
      </c>
      <c r="H93" s="764">
        <v>46.2</v>
      </c>
      <c r="I93" s="722">
        <f t="shared" si="9"/>
        <v>16170.000000000002</v>
      </c>
      <c r="J93" s="1023">
        <f t="shared" si="14"/>
        <v>0.87430452522255209</v>
      </c>
      <c r="K93" s="1039">
        <f t="shared" si="15"/>
        <v>2537.8083271513356</v>
      </c>
      <c r="L93" s="75"/>
      <c r="M93" s="594">
        <v>0.65</v>
      </c>
      <c r="N93" s="75"/>
      <c r="O93" s="432" t="s">
        <v>686</v>
      </c>
      <c r="P93" s="30"/>
    </row>
    <row r="94" spans="1:16" s="581" customFormat="1" ht="114" customHeight="1">
      <c r="A94" s="488">
        <v>1</v>
      </c>
      <c r="B94" s="489" t="s">
        <v>229</v>
      </c>
      <c r="C94" s="488">
        <v>1866</v>
      </c>
      <c r="D94" s="488">
        <v>111</v>
      </c>
      <c r="E94" s="488">
        <v>161</v>
      </c>
      <c r="F94" s="758">
        <f t="shared" si="8"/>
        <v>17871</v>
      </c>
      <c r="G94" s="782">
        <v>225</v>
      </c>
      <c r="H94" s="771">
        <f>D94</f>
        <v>111</v>
      </c>
      <c r="I94" s="734">
        <f t="shared" si="9"/>
        <v>24975</v>
      </c>
      <c r="J94" s="1036">
        <f t="shared" si="14"/>
        <v>0.39751552795031064</v>
      </c>
      <c r="K94" s="1052">
        <f t="shared" si="15"/>
        <v>2607.7639751552797</v>
      </c>
      <c r="L94" s="489" t="s">
        <v>14</v>
      </c>
      <c r="M94" s="606">
        <f>1.52+1</f>
        <v>2.52</v>
      </c>
      <c r="N94" s="489" t="s">
        <v>35</v>
      </c>
      <c r="O94" s="561" t="s">
        <v>416</v>
      </c>
      <c r="P94" s="922" t="s">
        <v>687</v>
      </c>
    </row>
    <row r="95" spans="1:16" s="31" customFormat="1" ht="116.85" customHeight="1">
      <c r="A95" s="460">
        <v>2</v>
      </c>
      <c r="B95" s="34" t="s">
        <v>229</v>
      </c>
      <c r="C95" s="488">
        <v>1866</v>
      </c>
      <c r="D95" s="488">
        <v>111</v>
      </c>
      <c r="E95" s="460">
        <v>161</v>
      </c>
      <c r="F95" s="757">
        <f t="shared" si="8"/>
        <v>17871</v>
      </c>
      <c r="G95" s="908">
        <v>225</v>
      </c>
      <c r="H95" s="909">
        <v>80</v>
      </c>
      <c r="I95" s="733">
        <f t="shared" si="9"/>
        <v>18000</v>
      </c>
      <c r="J95" s="1035">
        <f t="shared" si="14"/>
        <v>7.2183985227463054E-3</v>
      </c>
      <c r="K95" s="1051">
        <f t="shared" si="15"/>
        <v>1879.4695316434445</v>
      </c>
      <c r="L95" s="34" t="s">
        <v>14</v>
      </c>
      <c r="M95" s="556">
        <f>0.13</f>
        <v>0.13</v>
      </c>
      <c r="N95" s="34" t="s">
        <v>688</v>
      </c>
      <c r="O95" s="494" t="s">
        <v>231</v>
      </c>
      <c r="P95" s="922" t="s">
        <v>419</v>
      </c>
    </row>
    <row r="96" spans="1:16" s="378" customFormat="1">
      <c r="B96" s="380"/>
      <c r="F96" s="643"/>
      <c r="G96" s="910"/>
      <c r="H96" s="911"/>
      <c r="I96" s="907"/>
      <c r="J96" s="1037"/>
      <c r="K96" s="1037"/>
      <c r="O96" s="380"/>
    </row>
    <row r="97" spans="1:15" s="378" customFormat="1">
      <c r="B97" s="380"/>
      <c r="F97" s="643"/>
      <c r="G97" s="910"/>
      <c r="H97" s="911"/>
      <c r="I97" s="907"/>
      <c r="J97" s="1037"/>
      <c r="K97" s="1037"/>
      <c r="O97" s="380"/>
    </row>
    <row r="98" spans="1:15" s="378" customFormat="1">
      <c r="B98" s="380"/>
      <c r="F98" s="643"/>
      <c r="G98" s="910"/>
      <c r="H98" s="911"/>
      <c r="I98" s="907"/>
      <c r="J98" s="1037"/>
      <c r="K98" s="1037"/>
      <c r="O98" s="380"/>
    </row>
    <row r="99" spans="1:15" s="378" customFormat="1">
      <c r="B99" s="380"/>
      <c r="F99" s="643"/>
      <c r="G99" s="910"/>
      <c r="H99" s="911"/>
      <c r="I99" s="907"/>
      <c r="J99" s="1037"/>
      <c r="K99" s="1037"/>
      <c r="O99" s="380"/>
    </row>
    <row r="100" spans="1:15" s="378" customFormat="1">
      <c r="B100" s="380"/>
      <c r="F100" s="643"/>
      <c r="G100" s="910"/>
      <c r="H100" s="911"/>
      <c r="I100" s="907"/>
      <c r="J100" s="1037"/>
      <c r="K100" s="1037"/>
      <c r="O100" s="380"/>
    </row>
    <row r="101" spans="1:15" s="378" customFormat="1">
      <c r="B101" s="380"/>
      <c r="F101" s="643"/>
      <c r="G101" s="910"/>
      <c r="H101" s="911"/>
      <c r="I101" s="907"/>
      <c r="J101" s="1037"/>
      <c r="K101" s="1037"/>
      <c r="O101" s="380"/>
    </row>
    <row r="104" spans="1:15">
      <c r="A104" s="62"/>
      <c r="B104" s="62" t="s">
        <v>234</v>
      </c>
      <c r="C104" s="378"/>
      <c r="D104" s="378"/>
      <c r="E104" s="378"/>
      <c r="F104" s="643"/>
      <c r="G104" s="910"/>
      <c r="H104" s="911"/>
      <c r="I104" s="907"/>
      <c r="J104" s="1037"/>
      <c r="K104" s="1037"/>
      <c r="L104" s="378"/>
      <c r="M104" s="793">
        <v>2.4700000000000002</v>
      </c>
      <c r="N104" s="378"/>
    </row>
    <row r="105" spans="1:15">
      <c r="A105" s="378"/>
      <c r="B105" s="62" t="s">
        <v>235</v>
      </c>
      <c r="C105" s="378"/>
      <c r="D105" s="378"/>
      <c r="E105" s="378"/>
      <c r="F105" s="643"/>
      <c r="G105" s="910"/>
      <c r="H105" s="911"/>
      <c r="I105" s="907"/>
      <c r="J105" s="1037"/>
      <c r="K105" s="1037"/>
      <c r="L105" s="378"/>
      <c r="M105" s="793">
        <v>0.79</v>
      </c>
      <c r="N105" s="378"/>
    </row>
    <row r="106" spans="1:15">
      <c r="A106" s="378"/>
      <c r="B106" s="62" t="s">
        <v>236</v>
      </c>
      <c r="C106" s="378"/>
      <c r="D106" s="378"/>
      <c r="E106" s="378"/>
      <c r="F106" s="643"/>
      <c r="G106" s="910"/>
      <c r="H106" s="911"/>
      <c r="I106" s="907"/>
      <c r="J106" s="1037"/>
      <c r="K106" s="1037"/>
      <c r="L106" s="378"/>
      <c r="M106" s="793">
        <v>0.3</v>
      </c>
      <c r="N106" s="378"/>
    </row>
  </sheetData>
  <autoFilter ref="A1:P95" xr:uid="{4F4E958A-8F2A-4838-9786-C807D3FBC87D}"/>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Shailendra Joshi</dc:creator>
  <cp:keywords/>
  <dc:description/>
  <cp:lastModifiedBy/>
  <cp:revision/>
  <dcterms:created xsi:type="dcterms:W3CDTF">2015-06-05T18:17:20Z</dcterms:created>
  <dcterms:modified xsi:type="dcterms:W3CDTF">2024-10-28T14:31:33Z</dcterms:modified>
  <cp:category/>
  <cp:contentStatus/>
</cp:coreProperties>
</file>